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2" yWindow="672" windowWidth="8196" windowHeight="9828" tabRatio="859" activeTab="3"/>
  </bookViews>
  <sheets>
    <sheet name="info" sheetId="29" r:id="rId1"/>
    <sheet name="lista" sheetId="34" r:id="rId2"/>
    <sheet name="turniej" sheetId="35" r:id="rId3"/>
    <sheet name="klasyfikacja" sheetId="44" r:id="rId4"/>
    <sheet name="protokol" sheetId="42" r:id="rId5"/>
  </sheets>
  <definedNames>
    <definedName name="_xlnm.Print_Area" localSheetId="0">info!$A$1:$H$17</definedName>
    <definedName name="_xlnm.Print_Area" localSheetId="3">klasyfikacja!$A$1:$I$29</definedName>
    <definedName name="_xlnm.Print_Area" localSheetId="1">lista!$A$1:$P$26</definedName>
    <definedName name="_xlnm.Print_Area" localSheetId="4">protokol!$A$1:$Y$37</definedName>
    <definedName name="_xlnm.Print_Area" localSheetId="2">turniej!$A$1:$M$62</definedName>
  </definedNames>
  <calcPr calcId="124519"/>
</workbook>
</file>

<file path=xl/calcChain.xml><?xml version="1.0" encoding="utf-8"?>
<calcChain xmlns="http://schemas.openxmlformats.org/spreadsheetml/2006/main">
  <c r="AB3" i="42"/>
  <c r="B3" s="1"/>
  <c r="A3" i="34"/>
  <c r="A3" i="35"/>
  <c r="C29"/>
  <c r="T9" s="1"/>
  <c r="V27" i="42" s="1"/>
  <c r="C20" i="35"/>
  <c r="R8" s="1"/>
  <c r="C27" i="42" s="1"/>
  <c r="C28" i="35"/>
  <c r="S9" s="1"/>
  <c r="V25" i="42" s="1"/>
  <c r="C19" i="35"/>
  <c r="Q8" s="1"/>
  <c r="C25" i="42" s="1"/>
  <c r="A28" i="44"/>
  <c r="I28"/>
  <c r="A3"/>
  <c r="W22" i="42"/>
  <c r="J22"/>
  <c r="W3"/>
  <c r="J3"/>
  <c r="C53" i="35"/>
  <c r="T13" s="1"/>
  <c r="C50"/>
  <c r="R13" s="1"/>
  <c r="C47"/>
  <c r="T12" s="1"/>
  <c r="C44"/>
  <c r="R12" s="1"/>
  <c r="C41"/>
  <c r="T11" s="1"/>
  <c r="C38"/>
  <c r="R11" s="1"/>
  <c r="C35"/>
  <c r="T10" s="1"/>
  <c r="C32"/>
  <c r="R10" s="1"/>
  <c r="C26"/>
  <c r="R9" s="1"/>
  <c r="P27" i="42" s="1"/>
  <c r="C23" i="35"/>
  <c r="T8" s="1"/>
  <c r="I27" i="42" s="1"/>
  <c r="C17" i="35"/>
  <c r="T7" s="1"/>
  <c r="V8" i="42" s="1"/>
  <c r="C14" i="35"/>
  <c r="R7" s="1"/>
  <c r="P8" i="42" s="1"/>
  <c r="C11" i="35"/>
  <c r="T6" s="1"/>
  <c r="I8" i="42" s="1"/>
  <c r="C8" i="35"/>
  <c r="F9" s="1"/>
  <c r="R26" s="1"/>
  <c r="M62"/>
  <c r="A62"/>
  <c r="D9" i="29"/>
  <c r="D8"/>
  <c r="D7"/>
  <c r="D5"/>
  <c r="C52" i="35"/>
  <c r="S13" s="1"/>
  <c r="C49"/>
  <c r="Q13" s="1"/>
  <c r="C46"/>
  <c r="S12" s="1"/>
  <c r="C43"/>
  <c r="Q12" s="1"/>
  <c r="C40"/>
  <c r="S11" s="1"/>
  <c r="C37"/>
  <c r="Q11" s="1"/>
  <c r="C34"/>
  <c r="S10" s="1"/>
  <c r="C31"/>
  <c r="Q10" s="1"/>
  <c r="C25"/>
  <c r="Q9" s="1"/>
  <c r="P25" i="42" s="1"/>
  <c r="C22" i="35"/>
  <c r="S8" s="1"/>
  <c r="I25" i="42" s="1"/>
  <c r="C16" i="35"/>
  <c r="S7" s="1"/>
  <c r="V6" i="42" s="1"/>
  <c r="C13" i="35"/>
  <c r="Q7" s="1"/>
  <c r="P6" i="42" s="1"/>
  <c r="O6" s="1"/>
  <c r="C10" i="35"/>
  <c r="S6" s="1"/>
  <c r="I6" i="42" s="1"/>
  <c r="H6" s="1"/>
  <c r="C7" i="35"/>
  <c r="Q6" s="1"/>
  <c r="C6" i="42" s="1"/>
  <c r="B6" s="1"/>
  <c r="A1" i="44"/>
  <c r="A1" i="35"/>
  <c r="A1" i="34"/>
  <c r="R8"/>
  <c r="S8"/>
  <c r="R9"/>
  <c r="S9"/>
  <c r="R10"/>
  <c r="S10"/>
  <c r="R11"/>
  <c r="S11"/>
  <c r="R12"/>
  <c r="S12"/>
  <c r="R13"/>
  <c r="S13"/>
  <c r="R14"/>
  <c r="S14"/>
  <c r="R15"/>
  <c r="S15"/>
  <c r="R16"/>
  <c r="S16"/>
  <c r="R17"/>
  <c r="S17"/>
  <c r="R18"/>
  <c r="S18"/>
  <c r="R19"/>
  <c r="S19"/>
  <c r="R20"/>
  <c r="S20"/>
  <c r="R21"/>
  <c r="S21"/>
  <c r="R22"/>
  <c r="S22"/>
  <c r="R23"/>
  <c r="S23"/>
  <c r="B22" i="42" l="1"/>
  <c r="O3"/>
  <c r="O22"/>
  <c r="F15" i="35"/>
  <c r="I13" s="1"/>
  <c r="F39"/>
  <c r="D18" i="44"/>
  <c r="G18"/>
  <c r="F14" i="35"/>
  <c r="S26" s="1"/>
  <c r="F38"/>
  <c r="D17" i="44"/>
  <c r="G17"/>
  <c r="H17" s="1"/>
  <c r="F21" i="35"/>
  <c r="R27" s="1"/>
  <c r="F45"/>
  <c r="R29" s="1"/>
  <c r="D22" i="44"/>
  <c r="E22" s="1"/>
  <c r="G22"/>
  <c r="F20" i="35"/>
  <c r="Q27" s="1"/>
  <c r="F44"/>
  <c r="Q29" s="1"/>
  <c r="D21" i="44"/>
  <c r="G21"/>
  <c r="H21" s="1"/>
  <c r="U25" i="42"/>
  <c r="O25"/>
  <c r="B25"/>
  <c r="H25"/>
  <c r="U6"/>
  <c r="F32" i="35"/>
  <c r="F51"/>
  <c r="D20" i="44"/>
  <c r="F27" i="35"/>
  <c r="G13" i="44" s="1"/>
  <c r="D19"/>
  <c r="D23"/>
  <c r="G20"/>
  <c r="H20" s="1"/>
  <c r="F26" i="35"/>
  <c r="D13" i="44" s="1"/>
  <c r="E13" s="1"/>
  <c r="F50" i="35"/>
  <c r="D15" i="44" s="1"/>
  <c r="C15" s="1"/>
  <c r="G19"/>
  <c r="H19" s="1"/>
  <c r="G23"/>
  <c r="F23" s="1"/>
  <c r="F33" i="35"/>
  <c r="O8" i="42"/>
  <c r="H8"/>
  <c r="O27"/>
  <c r="H27"/>
  <c r="U27"/>
  <c r="U8"/>
  <c r="B27"/>
  <c r="F8" i="35"/>
  <c r="D12" i="44" s="1"/>
  <c r="C12" s="1"/>
  <c r="D16"/>
  <c r="G16"/>
  <c r="R6" i="35"/>
  <c r="C8" i="42" s="1"/>
  <c r="B8" s="1"/>
  <c r="G15" i="44" l="1"/>
  <c r="H15" s="1"/>
  <c r="F17"/>
  <c r="F21"/>
  <c r="C22"/>
  <c r="H23"/>
  <c r="C13"/>
  <c r="E12"/>
  <c r="T26" i="35"/>
  <c r="G12" i="44"/>
  <c r="S28" i="35"/>
  <c r="D14" i="44"/>
  <c r="T28" i="35"/>
  <c r="G14" i="44"/>
  <c r="E15"/>
  <c r="E21"/>
  <c r="C21"/>
  <c r="E17"/>
  <c r="C17"/>
  <c r="E18"/>
  <c r="C18"/>
  <c r="F22"/>
  <c r="H22"/>
  <c r="H18"/>
  <c r="F18"/>
  <c r="F19"/>
  <c r="F20"/>
  <c r="H13"/>
  <c r="F13"/>
  <c r="R34" i="35"/>
  <c r="R28"/>
  <c r="I37"/>
  <c r="L43" s="1"/>
  <c r="S27"/>
  <c r="I24"/>
  <c r="T27"/>
  <c r="I25"/>
  <c r="I56" s="1"/>
  <c r="Q28"/>
  <c r="I36"/>
  <c r="L42" s="1"/>
  <c r="S29"/>
  <c r="I48"/>
  <c r="I58" s="1"/>
  <c r="E19" i="44"/>
  <c r="C19"/>
  <c r="I49" i="35"/>
  <c r="I59" s="1"/>
  <c r="T29"/>
  <c r="Q26"/>
  <c r="I12"/>
  <c r="C23" i="44"/>
  <c r="E23"/>
  <c r="C20"/>
  <c r="E20"/>
  <c r="F16"/>
  <c r="H16"/>
  <c r="E16"/>
  <c r="C16"/>
  <c r="L18" i="35" l="1"/>
  <c r="D9" i="44" s="1"/>
  <c r="F15"/>
  <c r="L19" i="35"/>
  <c r="G9" i="44" s="1"/>
  <c r="I55" i="35"/>
  <c r="L57"/>
  <c r="F14" i="44"/>
  <c r="H14"/>
  <c r="F12"/>
  <c r="H12"/>
  <c r="L56" i="35"/>
  <c r="E14" i="44"/>
  <c r="C14"/>
  <c r="T35" i="35"/>
  <c r="T40"/>
  <c r="S35"/>
  <c r="T34"/>
  <c r="R35"/>
  <c r="Q34"/>
  <c r="Q35"/>
  <c r="S34"/>
  <c r="L30" l="1"/>
  <c r="G8" i="44" s="1"/>
  <c r="L29" i="35"/>
  <c r="D8" i="44" s="1"/>
  <c r="R40" i="35"/>
  <c r="F9" i="44"/>
  <c r="H9"/>
  <c r="Q40" i="35"/>
  <c r="R45"/>
  <c r="Q45"/>
  <c r="S45"/>
  <c r="D11" i="44"/>
  <c r="T45" i="35"/>
  <c r="G11" i="44"/>
  <c r="S40" i="35"/>
  <c r="E11" i="44" l="1"/>
  <c r="C11"/>
  <c r="G10"/>
  <c r="C9"/>
  <c r="E9"/>
  <c r="H11"/>
  <c r="F11"/>
  <c r="D10"/>
  <c r="E10" l="1"/>
  <c r="C10"/>
  <c r="C8"/>
  <c r="E8"/>
  <c r="F10"/>
  <c r="H10"/>
  <c r="F8"/>
  <c r="H8"/>
</calcChain>
</file>

<file path=xl/sharedStrings.xml><?xml version="1.0" encoding="utf-8"?>
<sst xmlns="http://schemas.openxmlformats.org/spreadsheetml/2006/main" count="340" uniqueCount="135">
  <si>
    <t>2.</t>
  </si>
  <si>
    <t>1.</t>
  </si>
  <si>
    <t>nazwisko i imię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</si>
  <si>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</si>
  <si>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</si>
  <si>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</si>
  <si>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</si>
  <si>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</si>
  <si>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</si>
  <si>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</si>
  <si>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</si>
  <si>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</si>
  <si>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</si>
  <si>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</si>
  <si>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</si>
  <si>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</si>
  <si>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</si>
  <si>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klub sportowy</t>
  </si>
  <si>
    <t>1/8 finału</t>
  </si>
  <si>
    <t>1/4 finału</t>
  </si>
  <si>
    <t>1/2 finału</t>
  </si>
  <si>
    <t>I</t>
  </si>
  <si>
    <t>II</t>
  </si>
  <si>
    <t>WYPEŁNIA PROWADZĄCY OBSŁUGĘ KOMPUTEROWĄ PRZED ROZPOCZĘCIEM TURNIEJU</t>
  </si>
  <si>
    <t>Nazwa turnieju:</t>
  </si>
  <si>
    <t>Miejsce rozgrywania turnieju (miasto):</t>
  </si>
  <si>
    <t>Termin rozgrywania turnieju:</t>
  </si>
  <si>
    <t>Konkurencja:</t>
  </si>
  <si>
    <t>ranking</t>
  </si>
  <si>
    <t xml:space="preserve"> </t>
  </si>
  <si>
    <t>5-8.</t>
  </si>
  <si>
    <t>9-16.</t>
  </si>
  <si>
    <t>nr lic.</t>
  </si>
  <si>
    <t>data ur.</t>
  </si>
  <si>
    <t>4</t>
  </si>
  <si>
    <t>3</t>
  </si>
  <si>
    <t>2</t>
  </si>
  <si>
    <t>1</t>
  </si>
  <si>
    <t>lp.</t>
  </si>
  <si>
    <t>suma</t>
  </si>
  <si>
    <t>finał</t>
  </si>
  <si>
    <t>nr meczu</t>
  </si>
  <si>
    <t>łącznie</t>
  </si>
  <si>
    <t>16</t>
  </si>
  <si>
    <t>9</t>
  </si>
  <si>
    <t>8</t>
  </si>
  <si>
    <t>5</t>
  </si>
  <si>
    <t>12</t>
  </si>
  <si>
    <t>13</t>
  </si>
  <si>
    <t>14</t>
  </si>
  <si>
    <t>11</t>
  </si>
  <si>
    <t>6</t>
  </si>
  <si>
    <t>7</t>
  </si>
  <si>
    <t>10</t>
  </si>
  <si>
    <t>15</t>
  </si>
  <si>
    <t>KATEGORIA:</t>
  </si>
  <si>
    <t>GODZINA / STÓŁ:</t>
  </si>
  <si>
    <t>PROTOKÓŁ MECZU</t>
  </si>
  <si>
    <t>NAZWISKO I IMIĘ</t>
  </si>
  <si>
    <t>1 SET</t>
  </si>
  <si>
    <t>2 SET</t>
  </si>
  <si>
    <t>3 SET</t>
  </si>
  <si>
    <t>4 SET</t>
  </si>
  <si>
    <t>5 SET</t>
  </si>
  <si>
    <t>SETY</t>
  </si>
  <si>
    <t>ZWYCIĘZCA:</t>
  </si>
  <si>
    <t>WYNIK:</t>
  </si>
  <si>
    <t>PODPIS ZAWODNIKA:</t>
  </si>
  <si>
    <t>PODPIS SĘDZIEGO:</t>
  </si>
  <si>
    <t>para 1 zawodnik 1</t>
  </si>
  <si>
    <t>para 1 zawodnik 2</t>
  </si>
  <si>
    <t>para 2 zawodnik 1</t>
  </si>
  <si>
    <t>para 2 zawodnik 2</t>
  </si>
  <si>
    <t>nr s.</t>
  </si>
  <si>
    <t>nr s. 1</t>
  </si>
  <si>
    <t>nr s. 2</t>
  </si>
  <si>
    <t>Niesklasyfikowani:</t>
  </si>
  <si>
    <t>3 miejsce</t>
  </si>
  <si>
    <t>4 miejsce</t>
  </si>
  <si>
    <t>Konkurencja skrót:</t>
  </si>
  <si>
    <t>kategoria:</t>
  </si>
  <si>
    <t>2014 SET - System Tabel Elektronicznych - Marek Przybyłowicz i Agata Biesaga</t>
  </si>
  <si>
    <t>-</t>
  </si>
  <si>
    <t>`</t>
  </si>
  <si>
    <t>Sędzia Główny:</t>
  </si>
  <si>
    <t>Obsługa komputerowa:</t>
  </si>
  <si>
    <t>63. Mistrzostwa Polski Kolejarzy</t>
  </si>
  <si>
    <t>Suchedniów</t>
  </si>
  <si>
    <t>22-24.04.2022</t>
  </si>
  <si>
    <t>Bartosz MAJCHER</t>
  </si>
  <si>
    <t>gra mieszana</t>
  </si>
  <si>
    <t>Mieszana</t>
  </si>
  <si>
    <t>LEWANDOWSKA Grażyna</t>
  </si>
  <si>
    <t>MIKOŁAJCZAK Piotr</t>
  </si>
  <si>
    <t>PRZEKAZIŃSKA Katarzyna</t>
  </si>
  <si>
    <t>PODSIADŁO Zbigniew</t>
  </si>
  <si>
    <t>GROLIK Agnieszka</t>
  </si>
  <si>
    <t>DOMAGAŁA Dariusz</t>
  </si>
  <si>
    <t>STOMA-SZARKOWICZ Magdalena</t>
  </si>
  <si>
    <t>PAŁĘGA Józef</t>
  </si>
  <si>
    <t>KASPRZAK Natalia</t>
  </si>
  <si>
    <t>PAWŁOWSKI Stanisław</t>
  </si>
  <si>
    <t>GAPSKA Krystyna</t>
  </si>
  <si>
    <t>NOWAKOWSKI Robert</t>
  </si>
  <si>
    <t>GRAŚ Anna</t>
  </si>
  <si>
    <t>CZERWIŃSKA Krystyna</t>
  </si>
  <si>
    <t>OWSIANNY Jarosław</t>
  </si>
  <si>
    <t>LATAŃSKI Dariusz</t>
  </si>
  <si>
    <t>ROSOLSKA Marzena</t>
  </si>
  <si>
    <t>HANDKE Paweł</t>
  </si>
  <si>
    <t>KRAJEWSKA Elżbieta</t>
  </si>
  <si>
    <t>BARTCZAK Henryk</t>
  </si>
  <si>
    <t>WŁODAREK-SZCZEPANIAK Magdalena</t>
  </si>
  <si>
    <t>BAZEWICZ Wiesław</t>
  </si>
  <si>
    <t>BALCERZAK Aneta</t>
  </si>
  <si>
    <t>PIECHNIK Henryk</t>
  </si>
  <si>
    <t>PRYSTUPA Marta</t>
  </si>
  <si>
    <t>NAWOJCZYK Rafał</t>
  </si>
  <si>
    <t>WITASIK Jolanta</t>
  </si>
  <si>
    <t>DROBNY Maciej</t>
  </si>
  <si>
    <t>MICHALSKA Elżbieta</t>
  </si>
  <si>
    <t>KOSTRZEWSKI Krzysztof</t>
  </si>
  <si>
    <t>ŚLUSARCZYK Urszula</t>
  </si>
  <si>
    <t>KOZIEŁ Łukasz</t>
  </si>
  <si>
    <t>3:0</t>
  </si>
  <si>
    <t>3:1</t>
  </si>
  <si>
    <t>3:2</t>
  </si>
  <si>
    <t>IC Południowy</t>
  </si>
  <si>
    <t>CT Zachodni</t>
  </si>
  <si>
    <t>IZ Zielona Góra</t>
  </si>
  <si>
    <t>IZ Lublin</t>
  </si>
  <si>
    <t>CT Dolnośląski</t>
  </si>
  <si>
    <t>IZ Skarżysko Kam.</t>
  </si>
  <si>
    <t>IZ Ostrów</t>
  </si>
  <si>
    <t>PR Poznań</t>
  </si>
</sst>
</file>

<file path=xl/styles.xml><?xml version="1.0" encoding="utf-8"?>
<styleSheet xmlns="http://schemas.openxmlformats.org/spreadsheetml/2006/main">
  <fonts count="71">
    <font>
      <sz val="10"/>
      <name val="Arial"/>
      <charset val="238"/>
    </font>
    <font>
      <sz val="10"/>
      <name val="Calibri"/>
      <family val="2"/>
      <charset val="238"/>
    </font>
    <font>
      <b/>
      <sz val="14"/>
      <name val="Calibri"/>
      <family val="2"/>
      <charset val="238"/>
    </font>
    <font>
      <b/>
      <i/>
      <sz val="16"/>
      <color indexed="63"/>
      <name val="Calibri"/>
      <family val="2"/>
      <charset val="238"/>
    </font>
    <font>
      <sz val="13"/>
      <name val="Calibri"/>
      <family val="2"/>
      <charset val="238"/>
    </font>
    <font>
      <b/>
      <i/>
      <sz val="13"/>
      <name val="Calibri"/>
      <family val="2"/>
      <charset val="238"/>
    </font>
    <font>
      <b/>
      <sz val="13"/>
      <color indexed="20"/>
      <name val="Calibri"/>
      <family val="2"/>
      <charset val="238"/>
    </font>
    <font>
      <b/>
      <sz val="13"/>
      <name val="Calibri"/>
      <family val="2"/>
      <charset val="238"/>
    </font>
    <font>
      <b/>
      <i/>
      <sz val="14"/>
      <color indexed="63"/>
      <name val="Calibri"/>
      <family val="2"/>
      <charset val="238"/>
    </font>
    <font>
      <b/>
      <i/>
      <sz val="20"/>
      <color indexed="9"/>
      <name val="Calibri"/>
      <family val="2"/>
      <charset val="238"/>
    </font>
    <font>
      <sz val="12"/>
      <name val="Calibri"/>
      <family val="2"/>
      <charset val="238"/>
    </font>
    <font>
      <sz val="10"/>
      <name val="Arial"/>
      <family val="2"/>
      <charset val="238"/>
    </font>
    <font>
      <sz val="14"/>
      <name val="Calibri"/>
      <family val="2"/>
      <charset val="238"/>
    </font>
    <font>
      <b/>
      <i/>
      <sz val="12"/>
      <color indexed="63"/>
      <name val="Calibri"/>
      <family val="2"/>
      <charset val="238"/>
    </font>
    <font>
      <b/>
      <i/>
      <sz val="12"/>
      <color indexed="9"/>
      <name val="Calibri"/>
      <family val="2"/>
      <charset val="238"/>
    </font>
    <font>
      <sz val="10"/>
      <color indexed="22"/>
      <name val="Calibri"/>
      <family val="2"/>
      <charset val="238"/>
    </font>
    <font>
      <b/>
      <i/>
      <sz val="16"/>
      <color indexed="22"/>
      <name val="Calibri"/>
      <family val="2"/>
      <charset val="238"/>
    </font>
    <font>
      <b/>
      <sz val="13"/>
      <color indexed="22"/>
      <name val="Calibri"/>
      <family val="2"/>
      <charset val="238"/>
    </font>
    <font>
      <sz val="13"/>
      <color indexed="22"/>
      <name val="Calibri"/>
      <family val="2"/>
      <charset val="238"/>
    </font>
    <font>
      <sz val="16"/>
      <name val="Calibri"/>
      <family val="2"/>
      <charset val="238"/>
    </font>
    <font>
      <b/>
      <sz val="18"/>
      <name val="Calibri"/>
      <family val="2"/>
      <charset val="238"/>
    </font>
    <font>
      <i/>
      <sz val="14"/>
      <color indexed="9"/>
      <name val="Calibri"/>
      <family val="2"/>
      <charset val="238"/>
    </font>
    <font>
      <b/>
      <sz val="16"/>
      <name val="Calibri"/>
      <family val="2"/>
      <charset val="238"/>
    </font>
    <font>
      <i/>
      <sz val="12"/>
      <name val="Calibri"/>
      <family val="2"/>
      <charset val="238"/>
    </font>
    <font>
      <i/>
      <sz val="14"/>
      <name val="Calibri"/>
      <family val="2"/>
      <charset val="238"/>
    </font>
    <font>
      <i/>
      <sz val="10"/>
      <name val="Calibri"/>
      <family val="2"/>
      <charset val="238"/>
    </font>
    <font>
      <b/>
      <i/>
      <sz val="16"/>
      <name val="Calibri"/>
      <family val="2"/>
      <charset val="238"/>
    </font>
    <font>
      <b/>
      <i/>
      <sz val="14"/>
      <name val="Calibri"/>
      <family val="2"/>
      <charset val="238"/>
    </font>
    <font>
      <b/>
      <i/>
      <sz val="12"/>
      <name val="Calibri"/>
      <family val="2"/>
      <charset val="238"/>
    </font>
    <font>
      <b/>
      <sz val="14"/>
      <color indexed="12"/>
      <name val="Calibri"/>
      <family val="2"/>
      <charset val="238"/>
    </font>
    <font>
      <b/>
      <i/>
      <sz val="14"/>
      <color indexed="9"/>
      <name val="Calibri"/>
      <family val="2"/>
      <charset val="238"/>
    </font>
    <font>
      <sz val="11"/>
      <color indexed="8"/>
      <name val="Calibri"/>
      <family val="2"/>
    </font>
    <font>
      <sz val="10"/>
      <color indexed="20"/>
      <name val="Calibri"/>
      <family val="2"/>
      <charset val="238"/>
    </font>
    <font>
      <b/>
      <sz val="14"/>
      <color indexed="20"/>
      <name val="Calibri"/>
      <family val="2"/>
      <charset val="238"/>
    </font>
    <font>
      <b/>
      <i/>
      <sz val="10"/>
      <name val="Calibri"/>
      <family val="2"/>
      <charset val="238"/>
    </font>
    <font>
      <b/>
      <sz val="10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i/>
      <sz val="9"/>
      <name val="Calibri"/>
      <family val="2"/>
      <charset val="238"/>
    </font>
    <font>
      <b/>
      <sz val="13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i/>
      <sz val="8"/>
      <color indexed="8"/>
      <name val="Calibri"/>
      <family val="2"/>
      <charset val="238"/>
    </font>
    <font>
      <i/>
      <sz val="7"/>
      <color indexed="8"/>
      <name val="Calibri"/>
      <family val="2"/>
      <charset val="238"/>
    </font>
    <font>
      <i/>
      <sz val="8"/>
      <name val="Calibri"/>
      <family val="2"/>
      <charset val="238"/>
    </font>
    <font>
      <i/>
      <sz val="7"/>
      <name val="Calibri"/>
      <family val="2"/>
      <charset val="238"/>
    </font>
    <font>
      <b/>
      <i/>
      <sz val="9"/>
      <color indexed="8"/>
      <name val="Calibri"/>
      <family val="2"/>
      <charset val="238"/>
    </font>
    <font>
      <b/>
      <sz val="12"/>
      <name val="Calibri"/>
      <family val="2"/>
      <charset val="238"/>
    </font>
    <font>
      <i/>
      <sz val="13"/>
      <name val="Calibri"/>
      <family val="2"/>
      <charset val="238"/>
    </font>
    <font>
      <i/>
      <sz val="8"/>
      <color indexed="8"/>
      <name val="Calibri"/>
      <family val="2"/>
      <charset val="238"/>
    </font>
    <font>
      <i/>
      <sz val="12"/>
      <color indexed="63"/>
      <name val="Calibri"/>
      <family val="2"/>
      <charset val="238"/>
    </font>
    <font>
      <sz val="9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</font>
    <font>
      <b/>
      <i/>
      <sz val="12"/>
      <color rgb="FFEB0000"/>
      <name val="Calibri"/>
      <family val="2"/>
      <charset val="238"/>
    </font>
    <font>
      <b/>
      <sz val="12"/>
      <color theme="4" tint="-0.499984740745262"/>
      <name val="Calibri"/>
      <family val="2"/>
      <charset val="238"/>
    </font>
    <font>
      <b/>
      <sz val="28"/>
      <color theme="4" tint="-0.249977111117893"/>
      <name val="Cambria"/>
      <family val="1"/>
      <charset val="238"/>
      <scheme val="major"/>
    </font>
    <font>
      <b/>
      <sz val="12"/>
      <color theme="4" tint="-0.249977111117893"/>
      <name val="Calibri"/>
      <family val="2"/>
      <charset val="238"/>
    </font>
    <font>
      <sz val="14"/>
      <color theme="0"/>
      <name val="Calibri"/>
      <family val="2"/>
      <charset val="238"/>
    </font>
    <font>
      <b/>
      <sz val="14"/>
      <color theme="0"/>
      <name val="Calibri"/>
      <family val="2"/>
      <charset val="238"/>
    </font>
    <font>
      <b/>
      <sz val="13"/>
      <color theme="0" tint="-0.249977111117893"/>
      <name val="Calibri"/>
      <family val="2"/>
      <charset val="238"/>
    </font>
    <font>
      <b/>
      <sz val="36"/>
      <color theme="4" tint="-0.249977111117893"/>
      <name val="Cambria"/>
      <family val="1"/>
      <charset val="238"/>
      <scheme val="major"/>
    </font>
    <font>
      <b/>
      <sz val="16"/>
      <name val="Cambria"/>
      <family val="1"/>
      <charset val="238"/>
      <scheme val="major"/>
    </font>
    <font>
      <b/>
      <sz val="14"/>
      <color rgb="FFEA0000"/>
      <name val="Calibri"/>
      <family val="2"/>
      <charset val="238"/>
    </font>
    <font>
      <b/>
      <i/>
      <sz val="14"/>
      <color theme="0"/>
      <name val="Calibri"/>
      <family val="2"/>
      <charset val="238"/>
    </font>
    <font>
      <b/>
      <sz val="14"/>
      <name val="Calibri"/>
      <family val="2"/>
      <charset val="238"/>
      <scheme val="minor"/>
    </font>
    <font>
      <b/>
      <sz val="33"/>
      <color theme="4" tint="-0.249977111117893"/>
      <name val="Cambria"/>
      <family val="1"/>
      <charset val="238"/>
      <scheme val="major"/>
    </font>
    <font>
      <b/>
      <i/>
      <sz val="20"/>
      <color theme="0"/>
      <name val="Calibri"/>
      <family val="2"/>
      <charset val="238"/>
    </font>
    <font>
      <b/>
      <i/>
      <sz val="14"/>
      <color rgb="FFFF0000"/>
      <name val="Calibri"/>
      <family val="2"/>
      <charset val="238"/>
    </font>
    <font>
      <b/>
      <sz val="25"/>
      <color theme="4" tint="-0.249977111117893"/>
      <name val="Cambria"/>
      <family val="1"/>
      <charset val="238"/>
      <scheme val="major"/>
    </font>
    <font>
      <i/>
      <sz val="12"/>
      <color theme="0"/>
      <name val="Calibri"/>
      <family val="2"/>
      <charset val="238"/>
    </font>
    <font>
      <b/>
      <sz val="13"/>
      <color theme="0" tint="-0.34998626667073579"/>
      <name val="Calibri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EA0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1">
    <xf numFmtId="0" fontId="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1" fillId="0" borderId="0"/>
    <xf numFmtId="0" fontId="31" fillId="0" borderId="0"/>
    <xf numFmtId="0" fontId="11" fillId="0" borderId="0"/>
  </cellStyleXfs>
  <cellXfs count="319">
    <xf numFmtId="0" fontId="0" fillId="0" borderId="0" xfId="0"/>
    <xf numFmtId="0" fontId="1" fillId="0" borderId="0" xfId="6" applyNumberFormat="1" applyFont="1" applyAlignment="1">
      <alignment horizontal="right"/>
    </xf>
    <xf numFmtId="0" fontId="1" fillId="0" borderId="0" xfId="6" applyNumberFormat="1" applyFont="1" applyAlignment="1"/>
    <xf numFmtId="0" fontId="1" fillId="0" borderId="0" xfId="6" applyNumberFormat="1" applyFont="1" applyAlignment="1">
      <alignment horizontal="center"/>
    </xf>
    <xf numFmtId="0" fontId="25" fillId="0" borderId="0" xfId="6" applyNumberFormat="1" applyFont="1" applyAlignment="1"/>
    <xf numFmtId="0" fontId="1" fillId="0" borderId="0" xfId="6" applyNumberFormat="1" applyFont="1"/>
    <xf numFmtId="14" fontId="10" fillId="0" borderId="0" xfId="6" applyNumberFormat="1" applyFont="1" applyFill="1" applyBorder="1" applyAlignment="1">
      <alignment horizontal="center" vertical="center"/>
    </xf>
    <xf numFmtId="0" fontId="23" fillId="0" borderId="0" xfId="6" applyNumberFormat="1" applyFont="1" applyFill="1" applyBorder="1" applyAlignment="1">
      <alignment horizontal="left" vertical="center"/>
    </xf>
    <xf numFmtId="0" fontId="52" fillId="0" borderId="0" xfId="6" applyNumberFormat="1" applyFont="1" applyFill="1" applyBorder="1" applyAlignment="1">
      <alignment horizontal="center" vertical="center"/>
    </xf>
    <xf numFmtId="0" fontId="20" fillId="0" borderId="0" xfId="6" applyNumberFormat="1" applyFont="1" applyAlignment="1" applyProtection="1">
      <alignment vertical="center"/>
      <protection locked="0"/>
    </xf>
    <xf numFmtId="14" fontId="19" fillId="0" borderId="0" xfId="6" applyNumberFormat="1" applyFont="1" applyAlignment="1" applyProtection="1">
      <alignment horizontal="center" vertical="center"/>
      <protection hidden="1"/>
    </xf>
    <xf numFmtId="0" fontId="26" fillId="0" borderId="0" xfId="6" applyNumberFormat="1" applyFont="1" applyAlignment="1" applyProtection="1">
      <alignment horizontal="left" vertical="center"/>
      <protection locked="0"/>
    </xf>
    <xf numFmtId="14" fontId="19" fillId="0" borderId="0" xfId="6" applyNumberFormat="1" applyFont="1" applyAlignment="1" applyProtection="1">
      <alignment horizontal="center" vertical="center"/>
      <protection locked="0"/>
    </xf>
    <xf numFmtId="0" fontId="24" fillId="0" borderId="0" xfId="6" applyNumberFormat="1" applyFont="1" applyFill="1" applyBorder="1" applyAlignment="1">
      <alignment horizontal="right" vertical="center"/>
    </xf>
    <xf numFmtId="0" fontId="2" fillId="0" borderId="0" xfId="6" applyNumberFormat="1" applyFont="1" applyFill="1" applyBorder="1" applyAlignment="1">
      <alignment horizontal="left" vertical="center"/>
    </xf>
    <xf numFmtId="0" fontId="23" fillId="0" borderId="0" xfId="6" applyNumberFormat="1" applyFont="1" applyAlignment="1">
      <alignment horizontal="right" vertical="center"/>
    </xf>
    <xf numFmtId="0" fontId="53" fillId="0" borderId="0" xfId="5" applyNumberFormat="1" applyFont="1" applyBorder="1" applyAlignment="1" applyProtection="1">
      <alignment horizontal="right" vertical="center"/>
      <protection locked="0"/>
    </xf>
    <xf numFmtId="0" fontId="23" fillId="0" borderId="0" xfId="1" applyNumberFormat="1" applyFont="1" applyAlignment="1" applyProtection="1">
      <alignment horizontal="right" vertical="center"/>
      <protection hidden="1"/>
    </xf>
    <xf numFmtId="0" fontId="2" fillId="0" borderId="0" xfId="1" applyNumberFormat="1" applyFont="1" applyAlignment="1" applyProtection="1">
      <alignment horizontal="left" vertical="center" indent="1"/>
      <protection locked="0"/>
    </xf>
    <xf numFmtId="0" fontId="54" fillId="0" borderId="0" xfId="1" applyNumberFormat="1" applyFont="1" applyFill="1" applyBorder="1" applyAlignment="1" applyProtection="1">
      <alignment horizontal="center" vertical="center"/>
      <protection locked="0"/>
    </xf>
    <xf numFmtId="0" fontId="1" fillId="0" borderId="0" xfId="1" applyNumberFormat="1" applyFont="1"/>
    <xf numFmtId="0" fontId="1" fillId="0" borderId="0" xfId="5" applyNumberFormat="1" applyFont="1"/>
    <xf numFmtId="0" fontId="1" fillId="0" borderId="0" xfId="5" applyNumberFormat="1" applyFont="1" applyAlignment="1">
      <alignment horizontal="right"/>
    </xf>
    <xf numFmtId="49" fontId="32" fillId="0" borderId="0" xfId="5" applyNumberFormat="1" applyFont="1" applyAlignment="1">
      <alignment horizontal="center"/>
    </xf>
    <xf numFmtId="0" fontId="1" fillId="0" borderId="0" xfId="5" applyNumberFormat="1" applyFont="1" applyAlignment="1"/>
    <xf numFmtId="0" fontId="1" fillId="0" borderId="0" xfId="5" applyNumberFormat="1" applyFont="1" applyAlignment="1">
      <alignment horizontal="center"/>
    </xf>
    <xf numFmtId="0" fontId="1" fillId="0" borderId="0" xfId="5" applyNumberFormat="1" applyFont="1" applyFill="1" applyBorder="1"/>
    <xf numFmtId="0" fontId="8" fillId="0" borderId="0" xfId="5" applyNumberFormat="1" applyFont="1" applyFill="1" applyBorder="1" applyAlignment="1">
      <alignment vertical="center"/>
    </xf>
    <xf numFmtId="0" fontId="27" fillId="3" borderId="0" xfId="1" applyNumberFormat="1" applyFont="1" applyFill="1" applyBorder="1" applyAlignment="1">
      <alignment horizontal="center" vertical="center"/>
    </xf>
    <xf numFmtId="49" fontId="28" fillId="3" borderId="0" xfId="1" applyNumberFormat="1" applyFont="1" applyFill="1" applyBorder="1" applyAlignment="1">
      <alignment horizontal="center" vertical="center" wrapText="1" shrinkToFit="1"/>
    </xf>
    <xf numFmtId="0" fontId="24" fillId="0" borderId="0" xfId="5" applyNumberFormat="1" applyFont="1" applyFill="1" applyBorder="1" applyAlignment="1">
      <alignment horizontal="right" vertical="center"/>
    </xf>
    <xf numFmtId="49" fontId="56" fillId="0" borderId="0" xfId="1" applyNumberFormat="1" applyFont="1" applyFill="1" applyBorder="1" applyAlignment="1">
      <alignment horizontal="center" vertical="center"/>
    </xf>
    <xf numFmtId="0" fontId="7" fillId="0" borderId="0" xfId="5" applyNumberFormat="1" applyFont="1" applyFill="1" applyBorder="1" applyAlignment="1" applyProtection="1">
      <alignment vertical="center"/>
      <protection locked="0"/>
    </xf>
    <xf numFmtId="0" fontId="23" fillId="0" borderId="0" xfId="1" applyNumberFormat="1" applyFont="1" applyFill="1" applyBorder="1" applyAlignment="1">
      <alignment horizontal="left" vertical="center" indent="1"/>
    </xf>
    <xf numFmtId="0" fontId="10" fillId="0" borderId="0" xfId="4" applyNumberFormat="1" applyFont="1" applyAlignment="1" applyProtection="1">
      <alignment horizontal="left" vertical="center"/>
      <protection locked="0"/>
    </xf>
    <xf numFmtId="0" fontId="10" fillId="0" borderId="0" xfId="4" applyNumberFormat="1" applyFont="1" applyAlignment="1" applyProtection="1">
      <alignment horizontal="center" vertical="center"/>
      <protection locked="0"/>
    </xf>
    <xf numFmtId="0" fontId="23" fillId="0" borderId="0" xfId="5" applyNumberFormat="1" applyFont="1" applyAlignment="1">
      <alignment horizontal="right" vertical="center"/>
    </xf>
    <xf numFmtId="0" fontId="1" fillId="0" borderId="0" xfId="5" applyNumberFormat="1" applyFont="1" applyFill="1"/>
    <xf numFmtId="0" fontId="1" fillId="0" borderId="0" xfId="5" applyNumberFormat="1" applyFont="1" applyFill="1" applyAlignment="1">
      <alignment horizontal="right"/>
    </xf>
    <xf numFmtId="49" fontId="32" fillId="0" borderId="0" xfId="5" applyNumberFormat="1" applyFont="1" applyFill="1" applyAlignment="1">
      <alignment horizontal="center"/>
    </xf>
    <xf numFmtId="0" fontId="1" fillId="0" borderId="0" xfId="5" applyNumberFormat="1" applyFont="1" applyFill="1" applyAlignment="1"/>
    <xf numFmtId="0" fontId="27" fillId="0" borderId="0" xfId="1" applyNumberFormat="1" applyFont="1" applyFill="1" applyBorder="1" applyAlignment="1">
      <alignment horizontal="center" vertical="center"/>
    </xf>
    <xf numFmtId="49" fontId="33" fillId="0" borderId="0" xfId="5" applyNumberFormat="1" applyFont="1" applyFill="1" applyBorder="1" applyAlignment="1">
      <alignment horizontal="center" vertical="center"/>
    </xf>
    <xf numFmtId="0" fontId="2" fillId="0" borderId="0" xfId="5" applyNumberFormat="1" applyFont="1" applyFill="1" applyBorder="1" applyAlignment="1">
      <alignment horizontal="left" vertical="center"/>
    </xf>
    <xf numFmtId="0" fontId="10" fillId="0" borderId="0" xfId="5" applyNumberFormat="1" applyFont="1" applyFill="1" applyBorder="1" applyAlignment="1">
      <alignment horizontal="left" vertical="center"/>
    </xf>
    <xf numFmtId="0" fontId="1" fillId="0" borderId="0" xfId="5" applyNumberFormat="1" applyFont="1" applyProtection="1">
      <protection locked="0"/>
    </xf>
    <xf numFmtId="0" fontId="1" fillId="0" borderId="0" xfId="5" applyFont="1"/>
    <xf numFmtId="49" fontId="12" fillId="0" borderId="0" xfId="5" applyNumberFormat="1" applyFont="1" applyAlignment="1" applyProtection="1">
      <alignment horizontal="center"/>
      <protection locked="0"/>
    </xf>
    <xf numFmtId="0" fontId="1" fillId="0" borderId="0" xfId="5" applyNumberFormat="1" applyFont="1" applyAlignment="1" applyProtection="1">
      <alignment horizontal="center"/>
      <protection locked="0"/>
    </xf>
    <xf numFmtId="0" fontId="10" fillId="0" borderId="0" xfId="5" applyNumberFormat="1" applyFont="1" applyProtection="1">
      <protection locked="0"/>
    </xf>
    <xf numFmtId="0" fontId="15" fillId="0" borderId="0" xfId="5" applyNumberFormat="1" applyFont="1" applyAlignment="1" applyProtection="1">
      <alignment horizontal="center"/>
      <protection locked="0"/>
    </xf>
    <xf numFmtId="0" fontId="12" fillId="0" borderId="0" xfId="5" applyNumberFormat="1" applyFont="1" applyAlignment="1" applyProtection="1">
      <alignment horizontal="left"/>
      <protection locked="0"/>
    </xf>
    <xf numFmtId="0" fontId="12" fillId="0" borderId="0" xfId="5" applyNumberFormat="1" applyFont="1" applyProtection="1">
      <protection locked="0"/>
    </xf>
    <xf numFmtId="0" fontId="15" fillId="0" borderId="0" xfId="5" applyNumberFormat="1" applyFont="1" applyProtection="1">
      <protection locked="0"/>
    </xf>
    <xf numFmtId="49" fontId="3" fillId="0" borderId="0" xfId="5" applyNumberFormat="1" applyFont="1" applyFill="1" applyBorder="1" applyAlignment="1" applyProtection="1">
      <alignment vertical="center"/>
      <protection locked="0"/>
    </xf>
    <xf numFmtId="0" fontId="3" fillId="0" borderId="0" xfId="5" applyNumberFormat="1" applyFont="1" applyFill="1" applyBorder="1" applyAlignment="1" applyProtection="1">
      <alignment vertical="center"/>
      <protection locked="0"/>
    </xf>
    <xf numFmtId="49" fontId="8" fillId="0" borderId="0" xfId="5" applyNumberFormat="1" applyFont="1" applyFill="1" applyBorder="1" applyAlignment="1" applyProtection="1">
      <alignment horizontal="center" vertical="center"/>
      <protection locked="0"/>
    </xf>
    <xf numFmtId="0" fontId="3" fillId="0" borderId="0" xfId="5" applyNumberFormat="1" applyFont="1" applyFill="1" applyBorder="1" applyAlignment="1" applyProtection="1">
      <alignment horizontal="center" vertical="center"/>
      <protection locked="0"/>
    </xf>
    <xf numFmtId="0" fontId="13" fillId="0" borderId="0" xfId="5" applyNumberFormat="1" applyFont="1" applyFill="1" applyBorder="1" applyAlignment="1" applyProtection="1">
      <alignment horizontal="center" vertical="center"/>
      <protection locked="0"/>
    </xf>
    <xf numFmtId="0" fontId="16" fillId="0" borderId="0" xfId="5" applyNumberFormat="1" applyFont="1" applyFill="1" applyBorder="1" applyAlignment="1" applyProtection="1">
      <alignment horizontal="center" vertical="center"/>
      <protection locked="0"/>
    </xf>
    <xf numFmtId="0" fontId="8" fillId="0" borderId="0" xfId="5" applyNumberFormat="1" applyFont="1" applyFill="1" applyBorder="1" applyAlignment="1" applyProtection="1">
      <alignment horizontal="center" vertical="center"/>
      <protection locked="0"/>
    </xf>
    <xf numFmtId="49" fontId="8" fillId="0" borderId="0" xfId="5" applyNumberFormat="1" applyFont="1" applyFill="1" applyBorder="1" applyAlignment="1">
      <alignment horizontal="center" vertical="center"/>
    </xf>
    <xf numFmtId="0" fontId="34" fillId="4" borderId="1" xfId="5" applyNumberFormat="1" applyFont="1" applyFill="1" applyBorder="1" applyAlignment="1" applyProtection="1">
      <alignment horizontal="center" vertical="center"/>
      <protection locked="0"/>
    </xf>
    <xf numFmtId="0" fontId="3" fillId="0" borderId="2" xfId="5" applyNumberFormat="1" applyFont="1" applyFill="1" applyBorder="1" applyAlignment="1" applyProtection="1">
      <alignment horizontal="center" vertical="center"/>
      <protection locked="0"/>
    </xf>
    <xf numFmtId="0" fontId="13" fillId="0" borderId="2" xfId="5" applyNumberFormat="1" applyFont="1" applyFill="1" applyBorder="1" applyAlignment="1" applyProtection="1">
      <alignment horizontal="center" vertical="center"/>
      <protection locked="0"/>
    </xf>
    <xf numFmtId="0" fontId="35" fillId="5" borderId="1" xfId="5" applyNumberFormat="1" applyFont="1" applyFill="1" applyBorder="1" applyAlignment="1">
      <alignment horizontal="center" vertical="center"/>
    </xf>
    <xf numFmtId="0" fontId="35" fillId="0" borderId="1" xfId="5" applyNumberFormat="1" applyFont="1" applyBorder="1" applyAlignment="1">
      <alignment horizontal="left" vertical="center"/>
    </xf>
    <xf numFmtId="0" fontId="6" fillId="6" borderId="0" xfId="5" applyNumberFormat="1" applyFont="1" applyFill="1" applyAlignment="1" applyProtection="1">
      <alignment horizontal="center" vertical="center"/>
      <protection locked="0"/>
    </xf>
    <xf numFmtId="0" fontId="15" fillId="0" borderId="0" xfId="5" applyNumberFormat="1" applyFont="1" applyFill="1" applyBorder="1" applyAlignment="1" applyProtection="1">
      <alignment horizontal="center" vertical="center"/>
      <protection locked="0"/>
    </xf>
    <xf numFmtId="0" fontId="5" fillId="0" borderId="0" xfId="5" applyNumberFormat="1" applyFont="1" applyFill="1" applyBorder="1" applyAlignment="1" applyProtection="1">
      <alignment horizontal="left" vertical="center"/>
      <protection locked="0"/>
    </xf>
    <xf numFmtId="0" fontId="12" fillId="0" borderId="0" xfId="5" applyNumberFormat="1" applyFont="1" applyFill="1" applyBorder="1" applyAlignment="1" applyProtection="1">
      <alignment horizontal="right" vertical="center"/>
      <protection locked="0"/>
    </xf>
    <xf numFmtId="0" fontId="18" fillId="0" borderId="0" xfId="5" applyNumberFormat="1" applyFont="1" applyAlignment="1" applyProtection="1">
      <alignment horizontal="center" vertical="center"/>
      <protection locked="0"/>
    </xf>
    <xf numFmtId="0" fontId="4" fillId="0" borderId="0" xfId="5" applyNumberFormat="1" applyFont="1" applyAlignment="1" applyProtection="1">
      <alignment horizontal="left" vertical="center"/>
      <protection locked="0"/>
    </xf>
    <xf numFmtId="0" fontId="12" fillId="0" borderId="0" xfId="5" applyNumberFormat="1" applyFont="1" applyAlignment="1" applyProtection="1">
      <alignment horizontal="right" vertical="center"/>
      <protection locked="0"/>
    </xf>
    <xf numFmtId="0" fontId="18" fillId="0" borderId="0" xfId="5" applyNumberFormat="1" applyFont="1" applyAlignment="1" applyProtection="1">
      <alignment horizontal="right" vertical="center"/>
      <protection locked="0"/>
    </xf>
    <xf numFmtId="0" fontId="4" fillId="0" borderId="0" xfId="5" applyNumberFormat="1" applyFont="1" applyAlignment="1" applyProtection="1">
      <alignment horizontal="right" vertical="center"/>
      <protection locked="0"/>
    </xf>
    <xf numFmtId="0" fontId="15" fillId="3" borderId="3" xfId="5" applyNumberFormat="1" applyFont="1" applyFill="1" applyBorder="1" applyAlignment="1" applyProtection="1">
      <alignment horizontal="center" vertical="center"/>
      <protection locked="0"/>
    </xf>
    <xf numFmtId="49" fontId="57" fillId="0" borderId="0" xfId="5" applyNumberFormat="1" applyFont="1" applyFill="1" applyBorder="1" applyAlignment="1" applyProtection="1">
      <alignment horizontal="center" vertical="center"/>
      <protection locked="0"/>
    </xf>
    <xf numFmtId="0" fontId="4" fillId="0" borderId="0" xfId="5" applyNumberFormat="1" applyFont="1" applyAlignment="1" applyProtection="1">
      <alignment horizontal="center" vertical="center"/>
      <protection locked="0"/>
    </xf>
    <xf numFmtId="0" fontId="14" fillId="0" borderId="4" xfId="5" applyNumberFormat="1" applyFont="1" applyFill="1" applyBorder="1" applyAlignment="1" applyProtection="1">
      <alignment horizontal="center" vertical="center"/>
    </xf>
    <xf numFmtId="0" fontId="17" fillId="3" borderId="5" xfId="5" applyNumberFormat="1" applyFont="1" applyFill="1" applyBorder="1" applyAlignment="1" applyProtection="1">
      <alignment horizontal="center" vertical="center"/>
      <protection locked="0"/>
    </xf>
    <xf numFmtId="0" fontId="6" fillId="6" borderId="0" xfId="5" applyNumberFormat="1" applyFont="1" applyFill="1" applyBorder="1" applyAlignment="1" applyProtection="1">
      <alignment horizontal="center" vertical="center"/>
      <protection locked="0"/>
    </xf>
    <xf numFmtId="0" fontId="17" fillId="7" borderId="0" xfId="5" applyNumberFormat="1" applyFont="1" applyFill="1" applyAlignment="1" applyProtection="1">
      <alignment horizontal="center" vertical="center"/>
      <protection locked="0"/>
    </xf>
    <xf numFmtId="0" fontId="7" fillId="7" borderId="0" xfId="5" applyNumberFormat="1" applyFont="1" applyFill="1" applyBorder="1" applyAlignment="1" applyProtection="1">
      <alignment horizontal="left" vertical="center"/>
      <protection locked="0"/>
    </xf>
    <xf numFmtId="0" fontId="7" fillId="7" borderId="6" xfId="5" applyNumberFormat="1" applyFont="1" applyFill="1" applyBorder="1" applyAlignment="1" applyProtection="1">
      <alignment horizontal="left" vertical="center"/>
      <protection locked="0"/>
    </xf>
    <xf numFmtId="0" fontId="4" fillId="0" borderId="0" xfId="5" applyNumberFormat="1" applyFont="1" applyBorder="1" applyAlignment="1" applyProtection="1">
      <alignment horizontal="left" vertical="center"/>
      <protection locked="0"/>
    </xf>
    <xf numFmtId="0" fontId="12" fillId="0" borderId="4" xfId="5" applyNumberFormat="1" applyFont="1" applyBorder="1" applyAlignment="1" applyProtection="1">
      <alignment horizontal="right" vertical="center"/>
      <protection locked="0"/>
    </xf>
    <xf numFmtId="0" fontId="18" fillId="0" borderId="0" xfId="5" applyNumberFormat="1" applyFont="1" applyFill="1" applyBorder="1" applyAlignment="1" applyProtection="1">
      <alignment horizontal="center" vertical="center"/>
      <protection locked="0"/>
    </xf>
    <xf numFmtId="49" fontId="5" fillId="0" borderId="0" xfId="5" applyNumberFormat="1" applyFont="1" applyFill="1" applyBorder="1" applyAlignment="1" applyProtection="1">
      <alignment horizontal="left" vertical="center"/>
      <protection locked="0"/>
    </xf>
    <xf numFmtId="0" fontId="4" fillId="0" borderId="7" xfId="5" applyNumberFormat="1" applyFont="1" applyBorder="1" applyAlignment="1" applyProtection="1">
      <alignment horizontal="center" vertical="center"/>
      <protection locked="0"/>
    </xf>
    <xf numFmtId="0" fontId="4" fillId="0" borderId="7" xfId="5" applyNumberFormat="1" applyFont="1" applyBorder="1" applyAlignment="1" applyProtection="1">
      <alignment horizontal="left" vertical="center"/>
      <protection locked="0"/>
    </xf>
    <xf numFmtId="0" fontId="10" fillId="0" borderId="7" xfId="5" applyNumberFormat="1" applyFont="1" applyBorder="1" applyAlignment="1" applyProtection="1">
      <alignment horizontal="right" vertical="center"/>
      <protection locked="0"/>
    </xf>
    <xf numFmtId="0" fontId="30" fillId="0" borderId="4" xfId="5" applyNumberFormat="1" applyFont="1" applyFill="1" applyBorder="1" applyAlignment="1" applyProtection="1">
      <alignment horizontal="center" vertical="center"/>
      <protection locked="0"/>
    </xf>
    <xf numFmtId="0" fontId="18" fillId="0" borderId="0" xfId="5" applyNumberFormat="1" applyFont="1" applyBorder="1" applyAlignment="1" applyProtection="1">
      <alignment horizontal="center" vertical="center"/>
      <protection locked="0"/>
    </xf>
    <xf numFmtId="0" fontId="4" fillId="0" borderId="0" xfId="5" applyNumberFormat="1" applyFont="1" applyBorder="1" applyAlignment="1" applyProtection="1">
      <alignment horizontal="right" vertical="center"/>
      <protection locked="0"/>
    </xf>
    <xf numFmtId="0" fontId="6" fillId="3" borderId="0" xfId="5" applyNumberFormat="1" applyFont="1" applyFill="1" applyBorder="1" applyAlignment="1" applyProtection="1">
      <alignment horizontal="center" vertical="center"/>
      <protection locked="0"/>
    </xf>
    <xf numFmtId="0" fontId="14" fillId="0" borderId="0" xfId="5" applyNumberFormat="1" applyFont="1" applyFill="1" applyBorder="1" applyAlignment="1" applyProtection="1">
      <alignment horizontal="center" vertical="center"/>
      <protection locked="0"/>
    </xf>
    <xf numFmtId="0" fontId="17" fillId="0" borderId="0" xfId="5" applyNumberFormat="1" applyFont="1" applyFill="1" applyBorder="1" applyAlignment="1" applyProtection="1">
      <alignment horizontal="center" vertical="center"/>
      <protection locked="0"/>
    </xf>
    <xf numFmtId="0" fontId="2" fillId="0" borderId="4" xfId="5" applyNumberFormat="1" applyFont="1" applyFill="1" applyBorder="1" applyAlignment="1" applyProtection="1">
      <alignment vertical="center"/>
      <protection locked="0"/>
    </xf>
    <xf numFmtId="0" fontId="17" fillId="0" borderId="0" xfId="5" applyNumberFormat="1" applyFont="1" applyFill="1" applyBorder="1" applyAlignment="1" applyProtection="1">
      <alignment horizontal="right" vertical="center"/>
      <protection locked="0"/>
    </xf>
    <xf numFmtId="0" fontId="4" fillId="3" borderId="0" xfId="5" applyNumberFormat="1" applyFont="1" applyFill="1" applyAlignment="1" applyProtection="1">
      <alignment horizontal="center" vertical="center"/>
      <protection locked="0"/>
    </xf>
    <xf numFmtId="0" fontId="6" fillId="6" borderId="2" xfId="5" applyNumberFormat="1" applyFont="1" applyFill="1" applyBorder="1" applyAlignment="1" applyProtection="1">
      <alignment horizontal="center" vertical="center"/>
      <protection locked="0"/>
    </xf>
    <xf numFmtId="0" fontId="12" fillId="0" borderId="4" xfId="5" applyNumberFormat="1" applyFont="1" applyFill="1" applyBorder="1" applyAlignment="1" applyProtection="1">
      <alignment horizontal="right" vertical="center"/>
      <protection locked="0"/>
    </xf>
    <xf numFmtId="0" fontId="12" fillId="0" borderId="0" xfId="5" applyNumberFormat="1" applyFont="1" applyBorder="1" applyAlignment="1" applyProtection="1">
      <alignment horizontal="right" vertical="center"/>
      <protection locked="0"/>
    </xf>
    <xf numFmtId="0" fontId="18" fillId="0" borderId="0" xfId="5" applyNumberFormat="1" applyFont="1" applyFill="1" applyBorder="1" applyAlignment="1" applyProtection="1">
      <alignment horizontal="right" vertical="center"/>
      <protection locked="0"/>
    </xf>
    <xf numFmtId="0" fontId="4" fillId="0" borderId="4" xfId="5" applyNumberFormat="1" applyFont="1" applyFill="1" applyBorder="1" applyAlignment="1" applyProtection="1">
      <alignment horizontal="right" vertical="center"/>
      <protection locked="0"/>
    </xf>
    <xf numFmtId="0" fontId="4" fillId="0" borderId="0" xfId="5" applyNumberFormat="1" applyFont="1" applyFill="1" applyBorder="1" applyAlignment="1" applyProtection="1">
      <alignment horizontal="right" vertical="center"/>
      <protection locked="0"/>
    </xf>
    <xf numFmtId="0" fontId="6" fillId="3" borderId="0" xfId="5" applyNumberFormat="1" applyFont="1" applyFill="1" applyAlignment="1" applyProtection="1">
      <alignment horizontal="center" vertical="center"/>
      <protection locked="0"/>
    </xf>
    <xf numFmtId="0" fontId="14" fillId="0" borderId="4" xfId="5" applyNumberFormat="1" applyFont="1" applyFill="1" applyBorder="1" applyAlignment="1" applyProtection="1">
      <alignment horizontal="center" vertical="center"/>
      <protection locked="0"/>
    </xf>
    <xf numFmtId="0" fontId="7" fillId="0" borderId="4" xfId="5" applyNumberFormat="1" applyFont="1" applyFill="1" applyBorder="1" applyAlignment="1" applyProtection="1">
      <alignment vertical="center"/>
      <protection locked="0"/>
    </xf>
    <xf numFmtId="0" fontId="17" fillId="0" borderId="3" xfId="5" applyNumberFormat="1" applyFont="1" applyFill="1" applyBorder="1" applyAlignment="1" applyProtection="1">
      <alignment horizontal="right" vertical="center"/>
      <protection locked="0"/>
    </xf>
    <xf numFmtId="0" fontId="18" fillId="0" borderId="3" xfId="5" applyNumberFormat="1" applyFont="1" applyBorder="1" applyAlignment="1" applyProtection="1">
      <alignment horizontal="right" vertical="center"/>
      <protection locked="0"/>
    </xf>
    <xf numFmtId="0" fontId="4" fillId="0" borderId="4" xfId="5" applyNumberFormat="1" applyFont="1" applyBorder="1" applyAlignment="1" applyProtection="1">
      <alignment horizontal="right" vertical="center"/>
      <protection locked="0"/>
    </xf>
    <xf numFmtId="0" fontId="4" fillId="0" borderId="2" xfId="5" applyNumberFormat="1" applyFont="1" applyBorder="1" applyAlignment="1" applyProtection="1">
      <alignment horizontal="center" vertical="center"/>
      <protection locked="0"/>
    </xf>
    <xf numFmtId="0" fontId="4" fillId="0" borderId="2" xfId="5" applyNumberFormat="1" applyFont="1" applyBorder="1" applyAlignment="1" applyProtection="1">
      <alignment horizontal="left" vertical="center"/>
      <protection locked="0"/>
    </xf>
    <xf numFmtId="0" fontId="10" fillId="0" borderId="2" xfId="5" applyNumberFormat="1" applyFont="1" applyBorder="1" applyAlignment="1" applyProtection="1">
      <alignment horizontal="right" vertical="center"/>
      <protection locked="0"/>
    </xf>
    <xf numFmtId="0" fontId="18" fillId="0" borderId="3" xfId="5" applyNumberFormat="1" applyFont="1" applyFill="1" applyBorder="1" applyAlignment="1" applyProtection="1">
      <alignment horizontal="right" vertical="center"/>
      <protection locked="0"/>
    </xf>
    <xf numFmtId="0" fontId="7" fillId="7" borderId="8" xfId="5" applyNumberFormat="1" applyFont="1" applyFill="1" applyBorder="1" applyAlignment="1" applyProtection="1">
      <alignment horizontal="left" vertical="center"/>
      <protection locked="0"/>
    </xf>
    <xf numFmtId="0" fontId="2" fillId="0" borderId="0" xfId="5" applyNumberFormat="1" applyFont="1" applyFill="1" applyBorder="1" applyAlignment="1" applyProtection="1">
      <alignment vertical="center"/>
      <protection locked="0"/>
    </xf>
    <xf numFmtId="0" fontId="10" fillId="0" borderId="0" xfId="5" applyNumberFormat="1" applyFont="1" applyAlignment="1" applyProtection="1">
      <alignment horizontal="right" vertical="center"/>
      <protection locked="0"/>
    </xf>
    <xf numFmtId="0" fontId="4" fillId="0" borderId="0" xfId="5" applyNumberFormat="1" applyFont="1" applyFill="1" applyAlignment="1" applyProtection="1">
      <alignment horizontal="left" vertical="center"/>
      <protection locked="0"/>
    </xf>
    <xf numFmtId="49" fontId="4" fillId="0" borderId="0" xfId="5" applyNumberFormat="1" applyFont="1" applyAlignment="1">
      <alignment horizontal="left" vertical="center"/>
    </xf>
    <xf numFmtId="0" fontId="35" fillId="0" borderId="0" xfId="5" applyNumberFormat="1" applyFont="1" applyFill="1" applyBorder="1" applyAlignment="1">
      <alignment horizontal="center" vertical="center"/>
    </xf>
    <xf numFmtId="0" fontId="35" fillId="0" borderId="0" xfId="5" applyNumberFormat="1" applyFont="1" applyFill="1" applyBorder="1" applyAlignment="1">
      <alignment horizontal="left" vertical="center"/>
    </xf>
    <xf numFmtId="0" fontId="4" fillId="0" borderId="0" xfId="5" applyNumberFormat="1" applyFont="1" applyBorder="1" applyAlignment="1" applyProtection="1">
      <alignment horizontal="center" vertical="center"/>
      <protection locked="0"/>
    </xf>
    <xf numFmtId="0" fontId="4" fillId="3" borderId="0" xfId="5" applyNumberFormat="1" applyFont="1" applyFill="1" applyBorder="1" applyAlignment="1" applyProtection="1">
      <alignment horizontal="center" vertical="center"/>
      <protection locked="0"/>
    </xf>
    <xf numFmtId="0" fontId="4" fillId="0" borderId="0" xfId="5" applyNumberFormat="1" applyFont="1" applyFill="1" applyBorder="1" applyAlignment="1" applyProtection="1">
      <alignment horizontal="left" vertical="center"/>
      <protection locked="0"/>
    </xf>
    <xf numFmtId="49" fontId="12" fillId="0" borderId="0" xfId="5" applyNumberFormat="1" applyFont="1" applyAlignment="1" applyProtection="1">
      <alignment horizontal="center" vertical="center"/>
      <protection locked="0"/>
    </xf>
    <xf numFmtId="0" fontId="7" fillId="0" borderId="0" xfId="5" applyNumberFormat="1" applyFont="1" applyFill="1" applyBorder="1" applyAlignment="1" applyProtection="1">
      <alignment horizontal="left" vertical="center"/>
      <protection locked="0"/>
    </xf>
    <xf numFmtId="0" fontId="1" fillId="0" borderId="9" xfId="4" applyFont="1" applyFill="1" applyBorder="1"/>
    <xf numFmtId="0" fontId="1" fillId="0" borderId="10" xfId="4" applyFont="1" applyFill="1" applyBorder="1"/>
    <xf numFmtId="0" fontId="1" fillId="0" borderId="11" xfId="4" applyFont="1" applyFill="1" applyBorder="1"/>
    <xf numFmtId="0" fontId="1" fillId="0" borderId="0" xfId="4" applyFont="1" applyFill="1" applyBorder="1"/>
    <xf numFmtId="0" fontId="1" fillId="0" borderId="0" xfId="4" applyFont="1" applyFill="1"/>
    <xf numFmtId="0" fontId="36" fillId="0" borderId="12" xfId="4" applyFont="1" applyFill="1" applyBorder="1"/>
    <xf numFmtId="0" fontId="37" fillId="0" borderId="0" xfId="4" applyFont="1" applyFill="1" applyBorder="1"/>
    <xf numFmtId="0" fontId="36" fillId="0" borderId="0" xfId="4" applyFont="1" applyFill="1" applyBorder="1"/>
    <xf numFmtId="0" fontId="37" fillId="0" borderId="0" xfId="4" applyFont="1" applyFill="1" applyBorder="1" applyAlignment="1">
      <alignment horizontal="right"/>
    </xf>
    <xf numFmtId="0" fontId="36" fillId="0" borderId="13" xfId="4" applyFont="1" applyFill="1" applyBorder="1"/>
    <xf numFmtId="0" fontId="36" fillId="0" borderId="0" xfId="4" applyFont="1" applyFill="1"/>
    <xf numFmtId="0" fontId="1" fillId="0" borderId="12" xfId="4" applyFont="1" applyFill="1" applyBorder="1"/>
    <xf numFmtId="0" fontId="1" fillId="0" borderId="13" xfId="4" applyFont="1" applyFill="1" applyBorder="1" applyProtection="1">
      <protection hidden="1"/>
    </xf>
    <xf numFmtId="0" fontId="1" fillId="0" borderId="0" xfId="4" applyFont="1" applyFill="1" applyBorder="1" applyProtection="1">
      <protection hidden="1"/>
    </xf>
    <xf numFmtId="0" fontId="1" fillId="0" borderId="12" xfId="4" applyFont="1" applyFill="1" applyBorder="1" applyProtection="1">
      <protection hidden="1"/>
    </xf>
    <xf numFmtId="0" fontId="1" fillId="0" borderId="4" xfId="4" applyFont="1" applyFill="1" applyBorder="1"/>
    <xf numFmtId="0" fontId="25" fillId="0" borderId="0" xfId="4" applyFont="1" applyFill="1" applyAlignment="1">
      <alignment horizontal="center" vertical="center"/>
    </xf>
    <xf numFmtId="0" fontId="40" fillId="0" borderId="0" xfId="4" applyFont="1" applyFill="1" applyBorder="1" applyAlignment="1" applyProtection="1">
      <protection hidden="1"/>
    </xf>
    <xf numFmtId="0" fontId="1" fillId="0" borderId="12" xfId="4" applyFont="1" applyFill="1" applyBorder="1" applyAlignment="1">
      <alignment shrinkToFit="1"/>
    </xf>
    <xf numFmtId="0" fontId="1" fillId="0" borderId="0" xfId="4" applyNumberFormat="1" applyFont="1" applyFill="1" applyBorder="1" applyAlignment="1" applyProtection="1">
      <alignment shrinkToFit="1"/>
      <protection hidden="1"/>
    </xf>
    <xf numFmtId="0" fontId="1" fillId="0" borderId="13" xfId="4" applyNumberFormat="1" applyFont="1" applyFill="1" applyBorder="1" applyAlignment="1" applyProtection="1">
      <alignment shrinkToFit="1"/>
      <protection hidden="1"/>
    </xf>
    <xf numFmtId="0" fontId="1" fillId="0" borderId="4" xfId="4" applyNumberFormat="1" applyFont="1" applyFill="1" applyBorder="1" applyAlignment="1" applyProtection="1">
      <alignment shrinkToFit="1"/>
      <protection hidden="1"/>
    </xf>
    <xf numFmtId="0" fontId="41" fillId="0" borderId="0" xfId="4" applyFont="1" applyFill="1" applyBorder="1" applyAlignment="1" applyProtection="1">
      <alignment horizontal="right" vertical="center"/>
      <protection hidden="1"/>
    </xf>
    <xf numFmtId="0" fontId="1" fillId="0" borderId="0" xfId="4" applyFont="1" applyFill="1" applyAlignment="1">
      <alignment shrinkToFit="1"/>
    </xf>
    <xf numFmtId="0" fontId="1" fillId="0" borderId="12" xfId="4" applyFont="1" applyFill="1" applyBorder="1" applyAlignment="1">
      <alignment vertical="center"/>
    </xf>
    <xf numFmtId="0" fontId="42" fillId="0" borderId="14" xfId="4" applyFont="1" applyFill="1" applyBorder="1" applyAlignment="1" applyProtection="1">
      <alignment vertical="center"/>
      <protection hidden="1"/>
    </xf>
    <xf numFmtId="0" fontId="1" fillId="0" borderId="15" xfId="4" applyFont="1" applyFill="1" applyBorder="1" applyAlignment="1" applyProtection="1">
      <alignment vertical="center"/>
      <protection hidden="1"/>
    </xf>
    <xf numFmtId="0" fontId="1" fillId="0" borderId="16" xfId="4" applyFont="1" applyFill="1" applyBorder="1" applyAlignment="1" applyProtection="1">
      <alignment vertical="center"/>
      <protection hidden="1"/>
    </xf>
    <xf numFmtId="0" fontId="1" fillId="0" borderId="0" xfId="4" applyFont="1" applyFill="1" applyBorder="1" applyAlignment="1" applyProtection="1">
      <alignment vertical="center"/>
      <protection hidden="1"/>
    </xf>
    <xf numFmtId="0" fontId="1" fillId="0" borderId="13" xfId="4" applyFont="1" applyFill="1" applyBorder="1" applyAlignment="1" applyProtection="1">
      <alignment vertical="center"/>
      <protection hidden="1"/>
    </xf>
    <xf numFmtId="0" fontId="1" fillId="0" borderId="12" xfId="4" applyFont="1" applyFill="1" applyBorder="1" applyAlignment="1" applyProtection="1">
      <alignment vertical="center"/>
      <protection hidden="1"/>
    </xf>
    <xf numFmtId="0" fontId="1" fillId="0" borderId="4" xfId="4" applyFont="1" applyFill="1" applyBorder="1" applyAlignment="1">
      <alignment vertical="center"/>
    </xf>
    <xf numFmtId="0" fontId="25" fillId="0" borderId="0" xfId="4" applyFont="1" applyFill="1" applyBorder="1" applyAlignment="1">
      <alignment horizontal="center" vertical="center" shrinkToFit="1"/>
    </xf>
    <xf numFmtId="0" fontId="1" fillId="0" borderId="0" xfId="4" applyFont="1" applyFill="1" applyBorder="1" applyAlignment="1">
      <alignment vertical="center"/>
    </xf>
    <xf numFmtId="0" fontId="1" fillId="0" borderId="0" xfId="4" applyFont="1" applyFill="1" applyBorder="1" applyAlignment="1" applyProtection="1">
      <alignment shrinkToFit="1"/>
      <protection hidden="1"/>
    </xf>
    <xf numFmtId="0" fontId="1" fillId="0" borderId="13" xfId="4" applyFont="1" applyFill="1" applyBorder="1" applyAlignment="1" applyProtection="1">
      <alignment shrinkToFit="1"/>
      <protection hidden="1"/>
    </xf>
    <xf numFmtId="0" fontId="1" fillId="0" borderId="12" xfId="4" applyFont="1" applyFill="1" applyBorder="1" applyAlignment="1" applyProtection="1">
      <alignment shrinkToFit="1"/>
      <protection hidden="1"/>
    </xf>
    <xf numFmtId="0" fontId="1" fillId="0" borderId="4" xfId="4" applyFont="1" applyFill="1" applyBorder="1" applyAlignment="1">
      <alignment shrinkToFit="1"/>
    </xf>
    <xf numFmtId="0" fontId="1" fillId="0" borderId="13" xfId="4" applyFont="1" applyFill="1" applyBorder="1" applyAlignment="1">
      <alignment vertical="center"/>
    </xf>
    <xf numFmtId="0" fontId="25" fillId="0" borderId="0" xfId="4" applyFont="1" applyFill="1" applyBorder="1" applyAlignment="1">
      <alignment horizontal="center" vertical="center"/>
    </xf>
    <xf numFmtId="0" fontId="1" fillId="0" borderId="13" xfId="4" applyFont="1" applyFill="1" applyBorder="1"/>
    <xf numFmtId="0" fontId="37" fillId="0" borderId="0" xfId="4" applyFont="1" applyFill="1" applyBorder="1" applyAlignment="1" applyProtection="1">
      <alignment vertical="center"/>
      <protection hidden="1"/>
    </xf>
    <xf numFmtId="0" fontId="25" fillId="0" borderId="0" xfId="4" applyFont="1" applyFill="1" applyAlignment="1">
      <alignment horizontal="center" vertical="center" shrinkToFit="1"/>
    </xf>
    <xf numFmtId="0" fontId="1" fillId="0" borderId="17" xfId="4" applyFont="1" applyFill="1" applyBorder="1"/>
    <xf numFmtId="0" fontId="1" fillId="0" borderId="0" xfId="4" applyFont="1" applyFill="1" applyBorder="1" applyAlignment="1">
      <alignment horizontal="center"/>
    </xf>
    <xf numFmtId="0" fontId="44" fillId="0" borderId="18" xfId="4" applyFont="1" applyFill="1" applyBorder="1" applyAlignment="1">
      <alignment horizontal="left"/>
    </xf>
    <xf numFmtId="0" fontId="1" fillId="0" borderId="19" xfId="4" applyFont="1" applyFill="1" applyBorder="1" applyAlignment="1">
      <alignment horizontal="center"/>
    </xf>
    <xf numFmtId="0" fontId="44" fillId="0" borderId="20" xfId="4" applyFont="1" applyFill="1" applyBorder="1" applyAlignment="1">
      <alignment horizontal="left"/>
    </xf>
    <xf numFmtId="0" fontId="1" fillId="0" borderId="21" xfId="4" applyFont="1" applyFill="1" applyBorder="1" applyAlignment="1">
      <alignment horizontal="center"/>
    </xf>
    <xf numFmtId="0" fontId="1" fillId="0" borderId="20" xfId="4" applyFont="1" applyFill="1" applyBorder="1"/>
    <xf numFmtId="0" fontId="44" fillId="0" borderId="18" xfId="4" applyFont="1" applyFill="1" applyBorder="1" applyAlignment="1">
      <alignment horizontal="right"/>
    </xf>
    <xf numFmtId="0" fontId="1" fillId="0" borderId="22" xfId="4" applyFont="1" applyFill="1" applyBorder="1"/>
    <xf numFmtId="0" fontId="1" fillId="0" borderId="23" xfId="4" applyFont="1" applyFill="1" applyBorder="1"/>
    <xf numFmtId="0" fontId="1" fillId="0" borderId="24" xfId="4" applyFont="1" applyFill="1" applyBorder="1"/>
    <xf numFmtId="0" fontId="1" fillId="0" borderId="25" xfId="4" applyFont="1" applyFill="1" applyBorder="1" applyAlignment="1">
      <alignment vertical="center"/>
    </xf>
    <xf numFmtId="0" fontId="1" fillId="0" borderId="13" xfId="4" applyFont="1" applyFill="1" applyBorder="1" applyAlignment="1">
      <alignment shrinkToFit="1"/>
    </xf>
    <xf numFmtId="0" fontId="34" fillId="0" borderId="0" xfId="5" applyNumberFormat="1" applyFont="1" applyFill="1" applyBorder="1" applyAlignment="1" applyProtection="1">
      <alignment horizontal="center" vertical="center"/>
      <protection locked="0"/>
    </xf>
    <xf numFmtId="49" fontId="4" fillId="0" borderId="0" xfId="5" applyNumberFormat="1" applyFont="1" applyFill="1" applyBorder="1" applyAlignment="1">
      <alignment horizontal="left" vertical="center"/>
    </xf>
    <xf numFmtId="0" fontId="4" fillId="0" borderId="0" xfId="5" applyNumberFormat="1" applyFont="1" applyFill="1" applyBorder="1" applyAlignment="1" applyProtection="1">
      <alignment horizontal="center" vertical="center"/>
      <protection locked="0"/>
    </xf>
    <xf numFmtId="20" fontId="5" fillId="0" borderId="0" xfId="5" applyNumberFormat="1" applyFont="1" applyFill="1" applyBorder="1" applyAlignment="1" applyProtection="1">
      <alignment horizontal="left" vertical="center"/>
      <protection locked="0"/>
    </xf>
    <xf numFmtId="0" fontId="5" fillId="0" borderId="4" xfId="5" applyNumberFormat="1" applyFont="1" applyFill="1" applyBorder="1" applyAlignment="1" applyProtection="1">
      <alignment horizontal="left" vertical="center"/>
      <protection locked="0"/>
    </xf>
    <xf numFmtId="49" fontId="58" fillId="0" borderId="0" xfId="5" applyNumberFormat="1" applyFont="1" applyFill="1" applyBorder="1" applyAlignment="1" applyProtection="1">
      <alignment horizontal="center" vertical="center"/>
      <protection locked="0"/>
    </xf>
    <xf numFmtId="0" fontId="6" fillId="0" borderId="0" xfId="5" applyNumberFormat="1" applyFont="1" applyFill="1" applyBorder="1" applyAlignment="1" applyProtection="1">
      <alignment horizontal="center" vertical="center"/>
      <protection locked="0"/>
    </xf>
    <xf numFmtId="0" fontId="7" fillId="7" borderId="8" xfId="5" applyNumberFormat="1" applyFont="1" applyFill="1" applyBorder="1" applyAlignment="1" applyProtection="1">
      <alignment horizontal="left" vertical="center"/>
      <protection locked="0"/>
    </xf>
    <xf numFmtId="0" fontId="15" fillId="3" borderId="0" xfId="5" applyNumberFormat="1" applyFont="1" applyFill="1" applyBorder="1" applyAlignment="1" applyProtection="1">
      <alignment horizontal="center" vertical="center"/>
      <protection locked="0"/>
    </xf>
    <xf numFmtId="0" fontId="17" fillId="3" borderId="2" xfId="5" applyNumberFormat="1" applyFont="1" applyFill="1" applyBorder="1" applyAlignment="1" applyProtection="1">
      <alignment horizontal="center" vertical="center"/>
      <protection locked="0"/>
    </xf>
    <xf numFmtId="0" fontId="42" fillId="0" borderId="26" xfId="4" applyFont="1" applyFill="1" applyBorder="1" applyAlignment="1" applyProtection="1">
      <alignment vertical="center"/>
      <protection hidden="1"/>
    </xf>
    <xf numFmtId="0" fontId="1" fillId="0" borderId="27" xfId="4" applyFont="1" applyFill="1" applyBorder="1" applyAlignment="1" applyProtection="1">
      <alignment vertical="center"/>
      <protection hidden="1"/>
    </xf>
    <xf numFmtId="0" fontId="10" fillId="0" borderId="0" xfId="4" applyNumberFormat="1" applyFont="1" applyAlignment="1" applyProtection="1">
      <alignment horizontal="right" vertical="center"/>
      <protection locked="0"/>
    </xf>
    <xf numFmtId="0" fontId="4" fillId="0" borderId="3" xfId="5" applyNumberFormat="1" applyFont="1" applyBorder="1" applyAlignment="1" applyProtection="1">
      <alignment horizontal="left" vertical="center"/>
      <protection locked="0"/>
    </xf>
    <xf numFmtId="0" fontId="59" fillId="7" borderId="8" xfId="5" applyNumberFormat="1" applyFont="1" applyFill="1" applyBorder="1" applyAlignment="1" applyProtection="1">
      <alignment horizontal="left" vertical="center"/>
      <protection locked="0"/>
    </xf>
    <xf numFmtId="0" fontId="1" fillId="0" borderId="0" xfId="5" applyNumberFormat="1" applyFont="1" applyBorder="1"/>
    <xf numFmtId="0" fontId="1" fillId="0" borderId="0" xfId="5" applyNumberFormat="1" applyFont="1" applyBorder="1" applyAlignment="1">
      <alignment horizontal="right"/>
    </xf>
    <xf numFmtId="49" fontId="32" fillId="0" borderId="0" xfId="5" applyNumberFormat="1" applyFont="1" applyBorder="1" applyAlignment="1">
      <alignment horizontal="center"/>
    </xf>
    <xf numFmtId="0" fontId="1" fillId="0" borderId="0" xfId="5" applyNumberFormat="1" applyFont="1" applyBorder="1" applyAlignment="1"/>
    <xf numFmtId="0" fontId="47" fillId="0" borderId="0" xfId="1" applyNumberFormat="1" applyFont="1" applyAlignment="1" applyProtection="1">
      <alignment horizontal="left" vertical="center" indent="1"/>
      <protection locked="0"/>
    </xf>
    <xf numFmtId="0" fontId="43" fillId="0" borderId="18" xfId="4" applyFont="1" applyFill="1" applyBorder="1" applyAlignment="1">
      <alignment horizontal="center" vertical="center"/>
    </xf>
    <xf numFmtId="0" fontId="48" fillId="0" borderId="20" xfId="4" applyFont="1" applyFill="1" applyBorder="1" applyAlignment="1">
      <alignment horizontal="center" vertical="center"/>
    </xf>
    <xf numFmtId="0" fontId="48" fillId="0" borderId="18" xfId="4" applyFont="1" applyFill="1" applyBorder="1" applyAlignment="1">
      <alignment horizontal="center" vertical="center"/>
    </xf>
    <xf numFmtId="0" fontId="1" fillId="0" borderId="18" xfId="4" applyFont="1" applyFill="1" applyBorder="1"/>
    <xf numFmtId="0" fontId="1" fillId="0" borderId="19" xfId="4" applyFont="1" applyFill="1" applyBorder="1"/>
    <xf numFmtId="0" fontId="1" fillId="0" borderId="21" xfId="4" applyFont="1" applyFill="1" applyBorder="1"/>
    <xf numFmtId="0" fontId="40" fillId="0" borderId="28" xfId="4" applyNumberFormat="1" applyFont="1" applyFill="1" applyBorder="1" applyAlignment="1" applyProtection="1">
      <alignment horizontal="center" vertical="center" shrinkToFit="1"/>
      <protection hidden="1"/>
    </xf>
    <xf numFmtId="49" fontId="22" fillId="0" borderId="0" xfId="5" applyNumberFormat="1" applyFont="1" applyAlignment="1">
      <alignment horizontal="center" vertical="center"/>
    </xf>
    <xf numFmtId="0" fontId="22" fillId="0" borderId="0" xfId="5" applyNumberFormat="1" applyFont="1" applyAlignment="1">
      <alignment horizontal="center" vertical="center"/>
    </xf>
    <xf numFmtId="0" fontId="24" fillId="0" borderId="0" xfId="5" applyNumberFormat="1" applyFont="1" applyFill="1" applyBorder="1" applyAlignment="1">
      <alignment horizontal="center" vertical="center"/>
    </xf>
    <xf numFmtId="0" fontId="24" fillId="0" borderId="0" xfId="5" applyNumberFormat="1" applyFont="1" applyFill="1" applyBorder="1" applyAlignment="1">
      <alignment horizontal="left" vertical="center"/>
    </xf>
    <xf numFmtId="0" fontId="60" fillId="0" borderId="0" xfId="5" applyNumberFormat="1" applyFont="1" applyFill="1" applyAlignment="1">
      <alignment horizontal="center" vertical="center" shrinkToFit="1"/>
    </xf>
    <xf numFmtId="0" fontId="9" fillId="0" borderId="0" xfId="5" applyNumberFormat="1" applyFont="1" applyFill="1" applyBorder="1" applyAlignment="1">
      <alignment horizontal="center" vertical="center"/>
    </xf>
    <xf numFmtId="0" fontId="23" fillId="0" borderId="0" xfId="1" applyNumberFormat="1" applyFont="1" applyFill="1" applyAlignment="1">
      <alignment horizontal="right" vertical="center"/>
    </xf>
    <xf numFmtId="0" fontId="1" fillId="0" borderId="0" xfId="6" applyNumberFormat="1" applyFont="1" applyAlignment="1" applyProtection="1">
      <alignment horizontal="center"/>
      <protection locked="0"/>
    </xf>
    <xf numFmtId="0" fontId="19" fillId="5" borderId="29" xfId="6" applyNumberFormat="1" applyFont="1" applyFill="1" applyBorder="1" applyAlignment="1" applyProtection="1">
      <alignment horizontal="left" vertical="center"/>
      <protection locked="0"/>
    </xf>
    <xf numFmtId="14" fontId="10" fillId="0" borderId="0" xfId="6" applyNumberFormat="1" applyFont="1" applyFill="1" applyBorder="1" applyAlignment="1" applyProtection="1">
      <alignment horizontal="center" vertical="center"/>
      <protection locked="0"/>
    </xf>
    <xf numFmtId="0" fontId="19" fillId="5" borderId="31" xfId="6" applyNumberFormat="1" applyFont="1" applyFill="1" applyBorder="1" applyAlignment="1" applyProtection="1">
      <alignment horizontal="left" vertical="center"/>
      <protection locked="0"/>
    </xf>
    <xf numFmtId="0" fontId="61" fillId="0" borderId="32" xfId="6" applyNumberFormat="1" applyFont="1" applyFill="1" applyBorder="1" applyAlignment="1" applyProtection="1">
      <alignment horizontal="left" vertical="center"/>
      <protection locked="0"/>
    </xf>
    <xf numFmtId="0" fontId="19" fillId="5" borderId="33" xfId="6" applyNumberFormat="1" applyFont="1" applyFill="1" applyBorder="1" applyAlignment="1" applyProtection="1">
      <alignment horizontal="left" vertical="center"/>
      <protection locked="0"/>
    </xf>
    <xf numFmtId="14" fontId="62" fillId="0" borderId="0" xfId="6" applyNumberFormat="1" applyFont="1" applyFill="1" applyBorder="1" applyAlignment="1" applyProtection="1">
      <alignment horizontal="left" vertical="center" indent="1"/>
      <protection locked="0"/>
    </xf>
    <xf numFmtId="0" fontId="19" fillId="5" borderId="34" xfId="6" applyNumberFormat="1" applyFont="1" applyFill="1" applyBorder="1" applyAlignment="1" applyProtection="1">
      <alignment horizontal="left" vertical="center"/>
      <protection locked="0"/>
    </xf>
    <xf numFmtId="0" fontId="61" fillId="0" borderId="35" xfId="6" applyNumberFormat="1" applyFont="1" applyFill="1" applyBorder="1" applyAlignment="1" applyProtection="1">
      <alignment horizontal="left" vertical="center"/>
      <protection locked="0"/>
    </xf>
    <xf numFmtId="0" fontId="1" fillId="0" borderId="0" xfId="4" applyFont="1" applyFill="1" applyBorder="1" applyAlignment="1">
      <alignment shrinkToFit="1"/>
    </xf>
    <xf numFmtId="0" fontId="45" fillId="5" borderId="36" xfId="4" applyFont="1" applyFill="1" applyBorder="1" applyAlignment="1" applyProtection="1">
      <alignment horizontal="center" vertical="center"/>
      <protection locked="0"/>
    </xf>
    <xf numFmtId="0" fontId="25" fillId="5" borderId="37" xfId="4" applyFont="1" applyFill="1" applyBorder="1" applyAlignment="1" applyProtection="1">
      <alignment horizontal="center" vertical="center"/>
      <protection hidden="1"/>
    </xf>
    <xf numFmtId="0" fontId="50" fillId="0" borderId="0" xfId="4" applyFont="1" applyFill="1" applyAlignment="1" applyProtection="1">
      <alignment horizontal="center" vertical="center"/>
      <protection locked="0"/>
    </xf>
    <xf numFmtId="0" fontId="25" fillId="0" borderId="0" xfId="4" applyFont="1" applyFill="1" applyAlignment="1" applyProtection="1">
      <alignment horizontal="center" vertical="center"/>
      <protection locked="0"/>
    </xf>
    <xf numFmtId="0" fontId="45" fillId="5" borderId="38" xfId="4" applyFont="1" applyFill="1" applyBorder="1" applyAlignment="1" applyProtection="1">
      <alignment horizontal="center" vertical="center"/>
      <protection locked="0"/>
    </xf>
    <xf numFmtId="0" fontId="25" fillId="3" borderId="39" xfId="4" applyFont="1" applyFill="1" applyBorder="1" applyAlignment="1" applyProtection="1">
      <alignment horizontal="center" vertical="center" shrinkToFit="1"/>
      <protection locked="0"/>
    </xf>
    <xf numFmtId="0" fontId="45" fillId="5" borderId="37" xfId="4" applyFont="1" applyFill="1" applyBorder="1" applyAlignment="1" applyProtection="1">
      <alignment horizontal="center" vertical="center"/>
      <protection locked="0"/>
    </xf>
    <xf numFmtId="0" fontId="45" fillId="5" borderId="34" xfId="4" applyFont="1" applyFill="1" applyBorder="1" applyAlignment="1" applyProtection="1">
      <alignment horizontal="center" vertical="center"/>
      <protection locked="0"/>
    </xf>
    <xf numFmtId="0" fontId="25" fillId="3" borderId="39" xfId="4" applyFont="1" applyFill="1" applyBorder="1" applyAlignment="1" applyProtection="1">
      <alignment horizontal="center" vertical="center"/>
      <protection locked="0"/>
    </xf>
    <xf numFmtId="49" fontId="56" fillId="0" borderId="0" xfId="1" applyNumberFormat="1" applyFont="1" applyFill="1" applyBorder="1" applyAlignment="1" applyProtection="1">
      <alignment horizontal="center" vertical="center"/>
      <protection locked="0"/>
    </xf>
    <xf numFmtId="14" fontId="10" fillId="0" borderId="0" xfId="1" applyNumberFormat="1" applyFont="1" applyFill="1" applyBorder="1" applyAlignment="1" applyProtection="1">
      <alignment horizontal="center" vertical="center"/>
      <protection locked="0"/>
    </xf>
    <xf numFmtId="0" fontId="23" fillId="0" borderId="0" xfId="1" applyNumberFormat="1" applyFont="1" applyFill="1" applyBorder="1" applyAlignment="1" applyProtection="1">
      <alignment horizontal="left" vertical="center" indent="1"/>
      <protection locked="0"/>
    </xf>
    <xf numFmtId="0" fontId="29" fillId="0" borderId="0" xfId="1" applyNumberFormat="1" applyFont="1" applyFill="1" applyBorder="1" applyAlignment="1" applyProtection="1">
      <alignment horizontal="right" vertical="center"/>
      <protection locked="0"/>
    </xf>
    <xf numFmtId="0" fontId="52" fillId="0" borderId="0" xfId="1" applyNumberFormat="1" applyFont="1" applyFill="1" applyBorder="1" applyAlignment="1" applyProtection="1">
      <alignment horizontal="right" vertical="center"/>
      <protection locked="0"/>
    </xf>
    <xf numFmtId="0" fontId="54" fillId="0" borderId="0" xfId="1" applyNumberFormat="1" applyFont="1" applyFill="1" applyBorder="1" applyAlignment="1" applyProtection="1">
      <alignment horizontal="center" vertical="center"/>
      <protection hidden="1"/>
    </xf>
    <xf numFmtId="0" fontId="2" fillId="0" borderId="0" xfId="1" applyNumberFormat="1" applyFont="1" applyAlignment="1" applyProtection="1">
      <alignment horizontal="left" vertical="center" indent="1"/>
      <protection hidden="1"/>
    </xf>
    <xf numFmtId="0" fontId="47" fillId="0" borderId="0" xfId="1" applyNumberFormat="1" applyFont="1" applyAlignment="1" applyProtection="1">
      <alignment horizontal="left" vertical="center" indent="1"/>
      <protection hidden="1"/>
    </xf>
    <xf numFmtId="0" fontId="64" fillId="0" borderId="0" xfId="1" applyFont="1" applyAlignment="1" applyProtection="1">
      <alignment horizontal="left" vertical="center" indent="1"/>
      <protection hidden="1"/>
    </xf>
    <xf numFmtId="0" fontId="23" fillId="0" borderId="0" xfId="4" applyNumberFormat="1" applyFont="1" applyAlignment="1" applyProtection="1">
      <alignment horizontal="left" vertical="center"/>
      <protection hidden="1"/>
    </xf>
    <xf numFmtId="0" fontId="23" fillId="0" borderId="0" xfId="0" applyNumberFormat="1" applyFont="1" applyAlignment="1" applyProtection="1">
      <alignment horizontal="left" vertical="center"/>
      <protection hidden="1"/>
    </xf>
    <xf numFmtId="0" fontId="23" fillId="0" borderId="0" xfId="0" applyNumberFormat="1" applyFont="1" applyAlignment="1" applyProtection="1">
      <alignment horizontal="right" vertical="center"/>
      <protection hidden="1"/>
    </xf>
    <xf numFmtId="0" fontId="49" fillId="0" borderId="0" xfId="5" applyNumberFormat="1" applyFont="1" applyFill="1" applyBorder="1" applyAlignment="1" applyProtection="1">
      <alignment horizontal="right" vertical="center"/>
      <protection hidden="1"/>
    </xf>
    <xf numFmtId="0" fontId="49" fillId="0" borderId="0" xfId="5" applyNumberFormat="1" applyFont="1" applyFill="1" applyBorder="1" applyAlignment="1" applyProtection="1">
      <alignment horizontal="left" vertical="center"/>
      <protection hidden="1"/>
    </xf>
    <xf numFmtId="0" fontId="35" fillId="0" borderId="1" xfId="5" applyNumberFormat="1" applyFont="1" applyBorder="1" applyAlignment="1" applyProtection="1">
      <alignment horizontal="left" vertical="center"/>
      <protection hidden="1"/>
    </xf>
    <xf numFmtId="0" fontId="21" fillId="0" borderId="0" xfId="0" applyNumberFormat="1" applyFont="1" applyFill="1" applyBorder="1" applyAlignment="1" applyProtection="1">
      <alignment vertical="center"/>
      <protection locked="0"/>
    </xf>
    <xf numFmtId="0" fontId="2" fillId="0" borderId="0" xfId="1" applyNumberFormat="1" applyFont="1" applyFill="1" applyAlignment="1" applyProtection="1">
      <alignment horizontal="left" vertical="center" indent="1"/>
      <protection hidden="1"/>
    </xf>
    <xf numFmtId="0" fontId="69" fillId="0" borderId="0" xfId="0" applyNumberFormat="1" applyFont="1" applyAlignment="1" applyProtection="1">
      <alignment horizontal="right" vertical="center"/>
      <protection hidden="1"/>
    </xf>
    <xf numFmtId="0" fontId="7" fillId="0" borderId="0" xfId="5" applyNumberFormat="1" applyFont="1" applyFill="1" applyBorder="1" applyAlignment="1" applyProtection="1">
      <alignment horizontal="left" vertical="center"/>
      <protection hidden="1"/>
    </xf>
    <xf numFmtId="0" fontId="7" fillId="0" borderId="0" xfId="5" applyNumberFormat="1" applyFont="1" applyFill="1" applyBorder="1" applyAlignment="1" applyProtection="1">
      <alignment horizontal="center" vertical="center"/>
      <protection locked="0"/>
    </xf>
    <xf numFmtId="0" fontId="28" fillId="0" borderId="0" xfId="5" applyNumberFormat="1" applyFont="1" applyFill="1" applyBorder="1" applyAlignment="1" applyProtection="1">
      <alignment horizontal="right" vertical="center"/>
      <protection locked="0"/>
    </xf>
    <xf numFmtId="0" fontId="28" fillId="0" borderId="0" xfId="5" applyNumberFormat="1" applyFont="1" applyFill="1" applyBorder="1" applyAlignment="1" applyProtection="1">
      <alignment horizontal="center" vertical="center"/>
      <protection locked="0"/>
    </xf>
    <xf numFmtId="49" fontId="27" fillId="0" borderId="0" xfId="5" applyNumberFormat="1" applyFont="1" applyFill="1" applyBorder="1" applyAlignment="1" applyProtection="1">
      <alignment horizontal="center" vertical="center"/>
      <protection locked="0"/>
    </xf>
    <xf numFmtId="0" fontId="7" fillId="3" borderId="0" xfId="5" applyNumberFormat="1" applyFont="1" applyFill="1" applyBorder="1" applyAlignment="1" applyProtection="1">
      <alignment horizontal="center" vertical="center"/>
      <protection locked="0"/>
    </xf>
    <xf numFmtId="0" fontId="7" fillId="3" borderId="8" xfId="5" applyNumberFormat="1" applyFont="1" applyFill="1" applyBorder="1" applyAlignment="1" applyProtection="1">
      <alignment horizontal="center" vertical="center"/>
      <protection locked="0"/>
    </xf>
    <xf numFmtId="0" fontId="7" fillId="3" borderId="2" xfId="5" applyNumberFormat="1" applyFont="1" applyFill="1" applyBorder="1" applyAlignment="1" applyProtection="1">
      <alignment horizontal="center" vertical="center"/>
      <protection locked="0"/>
    </xf>
    <xf numFmtId="0" fontId="4" fillId="0" borderId="3" xfId="5" applyNumberFormat="1" applyFont="1" applyFill="1" applyBorder="1" applyAlignment="1" applyProtection="1">
      <alignment horizontal="center" vertical="center"/>
      <protection locked="0"/>
    </xf>
    <xf numFmtId="0" fontId="1" fillId="3" borderId="3" xfId="5" applyNumberFormat="1" applyFont="1" applyFill="1" applyBorder="1" applyAlignment="1" applyProtection="1">
      <alignment horizontal="center" vertical="center"/>
      <protection locked="0"/>
    </xf>
    <xf numFmtId="0" fontId="7" fillId="3" borderId="3" xfId="5" applyNumberFormat="1" applyFont="1" applyFill="1" applyBorder="1" applyAlignment="1" applyProtection="1">
      <alignment horizontal="center" vertical="center"/>
      <protection locked="0"/>
    </xf>
    <xf numFmtId="0" fontId="7" fillId="11" borderId="8" xfId="5" applyNumberFormat="1" applyFont="1" applyFill="1" applyBorder="1" applyAlignment="1" applyProtection="1">
      <alignment horizontal="left" vertical="center"/>
      <protection locked="0"/>
    </xf>
    <xf numFmtId="0" fontId="70" fillId="11" borderId="49" xfId="5" applyNumberFormat="1" applyFont="1" applyFill="1" applyBorder="1" applyAlignment="1" applyProtection="1">
      <alignment horizontal="center" vertical="center"/>
      <protection locked="0"/>
    </xf>
    <xf numFmtId="0" fontId="10" fillId="0" borderId="0" xfId="1" applyNumberFormat="1" applyFont="1" applyFill="1" applyBorder="1" applyAlignment="1" applyProtection="1">
      <alignment horizontal="center" vertical="center"/>
      <protection locked="0"/>
    </xf>
    <xf numFmtId="14" fontId="10" fillId="0" borderId="0" xfId="0" applyNumberFormat="1" applyFont="1" applyAlignment="1" applyProtection="1">
      <alignment horizontal="center" vertical="center"/>
      <protection locked="0"/>
    </xf>
    <xf numFmtId="0" fontId="61" fillId="0" borderId="30" xfId="10" applyNumberFormat="1" applyFont="1" applyFill="1" applyBorder="1" applyAlignment="1" applyProtection="1">
      <alignment horizontal="left" vertical="center"/>
      <protection locked="0"/>
    </xf>
    <xf numFmtId="0" fontId="61" fillId="0" borderId="32" xfId="10" applyNumberFormat="1" applyFont="1" applyFill="1" applyBorder="1" applyAlignment="1" applyProtection="1">
      <alignment horizontal="left" vertical="center"/>
      <protection locked="0"/>
    </xf>
    <xf numFmtId="0" fontId="22" fillId="3" borderId="36" xfId="6" applyNumberFormat="1" applyFont="1" applyFill="1" applyBorder="1" applyAlignment="1" applyProtection="1">
      <alignment horizontal="center" vertical="center"/>
      <protection locked="0"/>
    </xf>
    <xf numFmtId="0" fontId="22" fillId="3" borderId="40" xfId="6" applyNumberFormat="1" applyFont="1" applyFill="1" applyBorder="1" applyAlignment="1" applyProtection="1">
      <alignment horizontal="center" vertical="center"/>
      <protection locked="0"/>
    </xf>
    <xf numFmtId="0" fontId="9" fillId="8" borderId="0" xfId="5" applyNumberFormat="1" applyFont="1" applyFill="1" applyBorder="1" applyAlignment="1" applyProtection="1">
      <alignment horizontal="center" vertical="center"/>
      <protection hidden="1"/>
    </xf>
    <xf numFmtId="0" fontId="27" fillId="0" borderId="0" xfId="5" applyNumberFormat="1" applyFont="1" applyFill="1" applyBorder="1" applyAlignment="1">
      <alignment horizontal="center" vertical="center"/>
    </xf>
    <xf numFmtId="0" fontId="24" fillId="0" borderId="0" xfId="5" applyNumberFormat="1" applyFont="1" applyFill="1" applyBorder="1" applyAlignment="1">
      <alignment horizontal="center" vertical="center"/>
    </xf>
    <xf numFmtId="0" fontId="65" fillId="0" borderId="0" xfId="5" applyNumberFormat="1" applyFont="1" applyAlignment="1" applyProtection="1">
      <alignment horizontal="center" vertical="center" shrinkToFit="1"/>
      <protection hidden="1"/>
    </xf>
    <xf numFmtId="0" fontId="7" fillId="3" borderId="0" xfId="5" applyNumberFormat="1" applyFont="1" applyFill="1" applyBorder="1" applyAlignment="1" applyProtection="1">
      <alignment horizontal="left" vertical="center"/>
      <protection hidden="1"/>
    </xf>
    <xf numFmtId="0" fontId="67" fillId="0" borderId="0" xfId="5" applyFont="1" applyFill="1" applyBorder="1" applyAlignment="1">
      <alignment horizontal="center" vertical="center"/>
    </xf>
    <xf numFmtId="49" fontId="58" fillId="8" borderId="0" xfId="5" applyNumberFormat="1" applyFont="1" applyFill="1" applyBorder="1" applyAlignment="1" applyProtection="1">
      <alignment horizontal="center" vertical="center"/>
      <protection hidden="1"/>
    </xf>
    <xf numFmtId="0" fontId="30" fillId="9" borderId="4" xfId="5" applyNumberFormat="1" applyFont="1" applyFill="1" applyBorder="1" applyAlignment="1" applyProtection="1">
      <alignment horizontal="center" vertical="center"/>
      <protection locked="0"/>
    </xf>
    <xf numFmtId="0" fontId="7" fillId="6" borderId="0" xfId="5" applyNumberFormat="1" applyFont="1" applyFill="1" applyBorder="1" applyAlignment="1" applyProtection="1">
      <alignment horizontal="left" vertical="center"/>
      <protection hidden="1"/>
    </xf>
    <xf numFmtId="0" fontId="7" fillId="2" borderId="4" xfId="5" applyNumberFormat="1" applyFont="1" applyFill="1" applyBorder="1" applyAlignment="1" applyProtection="1">
      <alignment horizontal="left" vertical="center"/>
      <protection hidden="1"/>
    </xf>
    <xf numFmtId="0" fontId="7" fillId="3" borderId="2" xfId="5" applyNumberFormat="1" applyFont="1" applyFill="1" applyBorder="1" applyAlignment="1" applyProtection="1">
      <alignment horizontal="left" vertical="center"/>
      <protection hidden="1"/>
    </xf>
    <xf numFmtId="0" fontId="7" fillId="3" borderId="4" xfId="5" applyNumberFormat="1" applyFont="1" applyFill="1" applyBorder="1" applyAlignment="1" applyProtection="1">
      <alignment horizontal="left" vertical="center"/>
      <protection hidden="1"/>
    </xf>
    <xf numFmtId="0" fontId="7" fillId="3" borderId="41" xfId="5" applyNumberFormat="1" applyFont="1" applyFill="1" applyBorder="1" applyAlignment="1" applyProtection="1">
      <alignment horizontal="left" vertical="center"/>
      <protection hidden="1"/>
    </xf>
    <xf numFmtId="0" fontId="7" fillId="6" borderId="2" xfId="5" applyNumberFormat="1" applyFont="1" applyFill="1" applyBorder="1" applyAlignment="1" applyProtection="1">
      <alignment horizontal="left" vertical="center"/>
      <protection hidden="1"/>
    </xf>
    <xf numFmtId="0" fontId="7" fillId="2" borderId="41" xfId="5" applyNumberFormat="1" applyFont="1" applyFill="1" applyBorder="1" applyAlignment="1" applyProtection="1">
      <alignment horizontal="left" vertical="center"/>
      <protection hidden="1"/>
    </xf>
    <xf numFmtId="0" fontId="66" fillId="8" borderId="0" xfId="5" applyNumberFormat="1" applyFont="1" applyFill="1" applyBorder="1" applyAlignment="1" applyProtection="1">
      <alignment horizontal="center" vertical="center"/>
      <protection hidden="1"/>
    </xf>
    <xf numFmtId="0" fontId="55" fillId="0" borderId="0" xfId="5" applyNumberFormat="1" applyFont="1" applyFill="1" applyBorder="1" applyAlignment="1" applyProtection="1">
      <alignment horizontal="center" vertical="center" shrinkToFit="1"/>
      <protection hidden="1"/>
    </xf>
    <xf numFmtId="0" fontId="7" fillId="6" borderId="8" xfId="5" applyNumberFormat="1" applyFont="1" applyFill="1" applyBorder="1" applyAlignment="1" applyProtection="1">
      <alignment horizontal="left" vertical="center"/>
      <protection hidden="1"/>
    </xf>
    <xf numFmtId="0" fontId="7" fillId="2" borderId="6" xfId="5" applyNumberFormat="1" applyFont="1" applyFill="1" applyBorder="1" applyAlignment="1" applyProtection="1">
      <alignment horizontal="left" vertical="center"/>
      <protection hidden="1"/>
    </xf>
    <xf numFmtId="49" fontId="63" fillId="10" borderId="0" xfId="5" applyNumberFormat="1" applyFont="1" applyFill="1" applyBorder="1" applyAlignment="1" applyProtection="1">
      <alignment horizontal="center" vertical="center"/>
      <protection locked="0"/>
    </xf>
    <xf numFmtId="0" fontId="63" fillId="0" borderId="0" xfId="5" applyFont="1" applyFill="1" applyBorder="1" applyAlignment="1">
      <alignment horizontal="center" vertical="center"/>
    </xf>
    <xf numFmtId="0" fontId="7" fillId="3" borderId="8" xfId="5" applyNumberFormat="1" applyFont="1" applyFill="1" applyBorder="1" applyAlignment="1" applyProtection="1">
      <alignment horizontal="left" vertical="center"/>
      <protection hidden="1"/>
    </xf>
    <xf numFmtId="0" fontId="68" fillId="0" borderId="0" xfId="5" applyNumberFormat="1" applyFont="1" applyAlignment="1" applyProtection="1">
      <alignment horizontal="center" vertical="center" shrinkToFit="1"/>
      <protection hidden="1"/>
    </xf>
    <xf numFmtId="0" fontId="48" fillId="0" borderId="18" xfId="4" applyFont="1" applyFill="1" applyBorder="1" applyAlignment="1">
      <alignment horizontal="center" vertical="center"/>
    </xf>
    <xf numFmtId="0" fontId="46" fillId="0" borderId="42" xfId="4" applyFont="1" applyFill="1" applyBorder="1" applyAlignment="1" applyProtection="1">
      <alignment horizontal="center" vertical="center"/>
      <protection hidden="1"/>
    </xf>
    <xf numFmtId="0" fontId="46" fillId="0" borderId="43" xfId="4" applyFont="1" applyFill="1" applyBorder="1" applyAlignment="1" applyProtection="1">
      <alignment horizontal="center" vertical="center"/>
      <protection hidden="1"/>
    </xf>
    <xf numFmtId="0" fontId="46" fillId="0" borderId="44" xfId="4" applyFont="1" applyFill="1" applyBorder="1" applyAlignment="1" applyProtection="1">
      <alignment horizontal="center" vertical="center" shrinkToFit="1"/>
      <protection hidden="1"/>
    </xf>
    <xf numFmtId="0" fontId="46" fillId="0" borderId="45" xfId="4" applyFont="1" applyFill="1" applyBorder="1" applyAlignment="1" applyProtection="1">
      <alignment horizontal="center" vertical="center" shrinkToFit="1"/>
      <protection hidden="1"/>
    </xf>
    <xf numFmtId="0" fontId="46" fillId="0" borderId="46" xfId="4" applyFont="1" applyFill="1" applyBorder="1" applyAlignment="1" applyProtection="1">
      <alignment horizontal="center" vertical="center" shrinkToFit="1"/>
      <protection hidden="1"/>
    </xf>
    <xf numFmtId="0" fontId="46" fillId="0" borderId="35" xfId="4" applyFont="1" applyFill="1" applyBorder="1" applyAlignment="1" applyProtection="1">
      <alignment horizontal="center" vertical="center" shrinkToFit="1"/>
      <protection hidden="1"/>
    </xf>
    <xf numFmtId="0" fontId="40" fillId="0" borderId="47" xfId="4" applyNumberFormat="1" applyFont="1" applyFill="1" applyBorder="1" applyAlignment="1" applyProtection="1">
      <alignment horizontal="center" vertical="center" shrinkToFit="1"/>
      <protection hidden="1"/>
    </xf>
    <xf numFmtId="0" fontId="40" fillId="0" borderId="48" xfId="4" applyNumberFormat="1" applyFont="1" applyFill="1" applyBorder="1" applyAlignment="1" applyProtection="1">
      <alignment horizontal="center" vertical="center" shrinkToFit="1"/>
      <protection hidden="1"/>
    </xf>
    <xf numFmtId="0" fontId="38" fillId="0" borderId="18" xfId="4" applyFont="1" applyFill="1" applyBorder="1" applyAlignment="1" applyProtection="1">
      <alignment horizontal="center" vertical="center" shrinkToFit="1"/>
      <protection hidden="1"/>
    </xf>
    <xf numFmtId="0" fontId="39" fillId="0" borderId="0" xfId="4" applyFont="1" applyFill="1" applyBorder="1" applyAlignment="1" applyProtection="1">
      <alignment horizontal="center"/>
      <protection hidden="1"/>
    </xf>
    <xf numFmtId="0" fontId="25" fillId="0" borderId="18" xfId="4" applyFont="1" applyFill="1" applyBorder="1" applyAlignment="1" applyProtection="1">
      <alignment horizontal="center" vertical="center" shrinkToFit="1"/>
      <protection hidden="1"/>
    </xf>
    <xf numFmtId="0" fontId="1" fillId="0" borderId="17" xfId="4" applyFont="1" applyFill="1" applyBorder="1" applyAlignment="1">
      <alignment horizontal="center"/>
    </xf>
    <xf numFmtId="0" fontId="25" fillId="0" borderId="18" xfId="4" applyNumberFormat="1" applyFont="1" applyFill="1" applyBorder="1" applyAlignment="1" applyProtection="1">
      <alignment horizontal="center" vertical="center" shrinkToFit="1"/>
      <protection hidden="1"/>
    </xf>
    <xf numFmtId="49" fontId="5" fillId="7" borderId="0" xfId="5" applyNumberFormat="1" applyFont="1" applyFill="1" applyBorder="1" applyAlignment="1" applyProtection="1">
      <alignment horizontal="left" vertical="center"/>
      <protection locked="0"/>
    </xf>
    <xf numFmtId="0" fontId="7" fillId="3" borderId="0" xfId="5" applyNumberFormat="1" applyFont="1" applyFill="1" applyBorder="1" applyAlignment="1" applyProtection="1">
      <alignment horizontal="left" vertical="center" shrinkToFit="1"/>
      <protection hidden="1"/>
    </xf>
    <xf numFmtId="0" fontId="7" fillId="3" borderId="4" xfId="5" applyNumberFormat="1" applyFont="1" applyFill="1" applyBorder="1" applyAlignment="1" applyProtection="1">
      <alignment horizontal="left" vertical="center" shrinkToFit="1"/>
      <protection hidden="1"/>
    </xf>
    <xf numFmtId="0" fontId="7" fillId="6" borderId="0" xfId="5" applyNumberFormat="1" applyFont="1" applyFill="1" applyBorder="1" applyAlignment="1" applyProtection="1">
      <alignment horizontal="left" vertical="center" shrinkToFit="1"/>
      <protection hidden="1"/>
    </xf>
    <xf numFmtId="0" fontId="7" fillId="2" borderId="4" xfId="5" applyNumberFormat="1" applyFont="1" applyFill="1" applyBorder="1" applyAlignment="1" applyProtection="1">
      <alignment horizontal="left" vertical="center" shrinkToFit="1"/>
      <protection hidden="1"/>
    </xf>
    <xf numFmtId="49" fontId="5" fillId="7" borderId="8" xfId="5" applyNumberFormat="1" applyFont="1" applyFill="1" applyBorder="1" applyAlignment="1" applyProtection="1">
      <alignment horizontal="left" vertical="center"/>
      <protection locked="0"/>
    </xf>
    <xf numFmtId="49" fontId="5" fillId="11" borderId="8" xfId="5" applyNumberFormat="1" applyFont="1" applyFill="1" applyBorder="1" applyAlignment="1" applyProtection="1">
      <alignment horizontal="left" vertical="center"/>
      <protection locked="0"/>
    </xf>
  </cellXfs>
  <cellStyles count="11">
    <cellStyle name="Normalny" xfId="0" builtinId="0"/>
    <cellStyle name="Normalny 2" xfId="1"/>
    <cellStyle name="Normalny 2 2" xfId="2"/>
    <cellStyle name="Normalny 2 2 2" xfId="3"/>
    <cellStyle name="Normalny 2 2 2 2" xfId="4"/>
    <cellStyle name="Normalny 2 3" xfId="5"/>
    <cellStyle name="Normalny 3" xfId="6"/>
    <cellStyle name="Normalny 3 2" xfId="10"/>
    <cellStyle name="Normalny 4" xfId="7"/>
    <cellStyle name="Normalny 5" xfId="8"/>
    <cellStyle name="Normalny 6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396240</xdr:colOff>
      <xdr:row>0</xdr:row>
      <xdr:rowOff>22860</xdr:rowOff>
    </xdr:from>
    <xdr:to>
      <xdr:col>7</xdr:col>
      <xdr:colOff>68580</xdr:colOff>
      <xdr:row>2</xdr:row>
      <xdr:rowOff>152400</xdr:rowOff>
    </xdr:to>
    <xdr:pic>
      <xdr:nvPicPr>
        <xdr:cNvPr id="1522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25040" y="22860"/>
          <a:ext cx="388620" cy="35814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17</xdr:col>
      <xdr:colOff>426720</xdr:colOff>
      <xdr:row>0</xdr:row>
      <xdr:rowOff>22860</xdr:rowOff>
    </xdr:from>
    <xdr:to>
      <xdr:col>20</xdr:col>
      <xdr:colOff>99060</xdr:colOff>
      <xdr:row>2</xdr:row>
      <xdr:rowOff>152400</xdr:rowOff>
    </xdr:to>
    <xdr:pic>
      <xdr:nvPicPr>
        <xdr:cNvPr id="1523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83780" y="22860"/>
          <a:ext cx="388620" cy="35814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17</xdr:col>
      <xdr:colOff>396240</xdr:colOff>
      <xdr:row>19</xdr:row>
      <xdr:rowOff>22860</xdr:rowOff>
    </xdr:from>
    <xdr:to>
      <xdr:col>20</xdr:col>
      <xdr:colOff>68580</xdr:colOff>
      <xdr:row>21</xdr:row>
      <xdr:rowOff>152400</xdr:rowOff>
    </xdr:to>
    <xdr:pic>
      <xdr:nvPicPr>
        <xdr:cNvPr id="1523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53300" y="3855720"/>
          <a:ext cx="388620" cy="35814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4</xdr:col>
      <xdr:colOff>403860</xdr:colOff>
      <xdr:row>19</xdr:row>
      <xdr:rowOff>22860</xdr:rowOff>
    </xdr:from>
    <xdr:to>
      <xdr:col>7</xdr:col>
      <xdr:colOff>76200</xdr:colOff>
      <xdr:row>21</xdr:row>
      <xdr:rowOff>152400</xdr:rowOff>
    </xdr:to>
    <xdr:pic>
      <xdr:nvPicPr>
        <xdr:cNvPr id="1523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32660" y="3855720"/>
          <a:ext cx="388620" cy="35814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/>
    <pageSetUpPr fitToPage="1"/>
  </sheetPr>
  <dimension ref="B1:Q58"/>
  <sheetViews>
    <sheetView zoomScale="60" zoomScaleNormal="60" workbookViewId="0">
      <selection activeCell="C3" sqref="C3:C7"/>
    </sheetView>
  </sheetViews>
  <sheetFormatPr defaultColWidth="9.109375" defaultRowHeight="13.8"/>
  <cols>
    <col min="1" max="1" width="11.5546875" style="5" customWidth="1"/>
    <col min="2" max="2" width="51" style="1" customWidth="1"/>
    <col min="3" max="3" width="92.5546875" style="2" bestFit="1" customWidth="1"/>
    <col min="4" max="4" width="15.6640625" style="3" customWidth="1"/>
    <col min="5" max="5" width="29" style="2" customWidth="1"/>
    <col min="6" max="6" width="28.88671875" style="4" customWidth="1"/>
    <col min="7" max="7" width="13.5546875" style="3" customWidth="1"/>
    <col min="8" max="8" width="11.5546875" style="5" customWidth="1"/>
    <col min="9" max="16384" width="9.109375" style="5"/>
  </cols>
  <sheetData>
    <row r="1" spans="2:17" ht="20.100000000000001" customHeight="1" thickBot="1"/>
    <row r="2" spans="2:17" ht="30" customHeight="1" thickBot="1">
      <c r="B2" s="273" t="s">
        <v>23</v>
      </c>
      <c r="C2" s="274"/>
      <c r="D2" s="219"/>
    </row>
    <row r="3" spans="2:17" ht="30" customHeight="1">
      <c r="B3" s="220" t="s">
        <v>24</v>
      </c>
      <c r="C3" s="271" t="s">
        <v>86</v>
      </c>
      <c r="D3" s="221"/>
      <c r="E3" s="7"/>
      <c r="F3" s="7"/>
      <c r="G3" s="8"/>
      <c r="O3" s="9"/>
      <c r="P3" s="10"/>
      <c r="Q3" s="11"/>
    </row>
    <row r="4" spans="2:17" ht="30" customHeight="1">
      <c r="B4" s="222" t="s">
        <v>25</v>
      </c>
      <c r="C4" s="223" t="s">
        <v>87</v>
      </c>
      <c r="D4" s="221"/>
      <c r="E4" s="7"/>
      <c r="F4" s="7"/>
      <c r="G4" s="8"/>
      <c r="O4" s="9"/>
      <c r="P4" s="12"/>
      <c r="Q4" s="11"/>
    </row>
    <row r="5" spans="2:17" ht="30" customHeight="1">
      <c r="B5" s="224" t="s">
        <v>26</v>
      </c>
      <c r="C5" s="271" t="s">
        <v>88</v>
      </c>
      <c r="D5" s="225" t="str">
        <f>"- w formacie dd.mm.rrrr"</f>
        <v>- w formacie dd.mm.rrrr</v>
      </c>
      <c r="E5" s="7"/>
      <c r="F5" s="7"/>
      <c r="G5" s="8"/>
      <c r="O5" s="9"/>
      <c r="P5" s="12"/>
      <c r="Q5" s="11"/>
    </row>
    <row r="6" spans="2:17" ht="30" customHeight="1">
      <c r="B6" s="222" t="s">
        <v>84</v>
      </c>
      <c r="C6" s="272" t="s">
        <v>89</v>
      </c>
      <c r="D6" s="221"/>
      <c r="E6" s="7"/>
      <c r="F6" s="7"/>
      <c r="G6" s="8"/>
      <c r="O6" s="9"/>
      <c r="P6" s="12"/>
      <c r="Q6" s="11"/>
    </row>
    <row r="7" spans="2:17" ht="30" customHeight="1">
      <c r="B7" s="224" t="s">
        <v>85</v>
      </c>
      <c r="C7" s="272" t="s">
        <v>89</v>
      </c>
      <c r="D7" s="225" t="str">
        <f>"- jeśli nie ma obsługi komputerowej pozostawić pustą komórkę"</f>
        <v>- jeśli nie ma obsługi komputerowej pozostawić pustą komórkę</v>
      </c>
      <c r="E7" s="7"/>
      <c r="F7" s="7"/>
      <c r="G7" s="8"/>
      <c r="O7" s="9"/>
      <c r="P7" s="12"/>
      <c r="Q7" s="11"/>
    </row>
    <row r="8" spans="2:17" ht="30" customHeight="1">
      <c r="B8" s="222" t="s">
        <v>27</v>
      </c>
      <c r="C8" s="223" t="s">
        <v>90</v>
      </c>
      <c r="D8" s="225" t="str">
        <f>"- np. gra pojedyncza juniorek"</f>
        <v>- np. gra pojedyncza juniorek</v>
      </c>
      <c r="E8" s="7"/>
      <c r="F8" s="7"/>
      <c r="G8" s="8"/>
      <c r="O8" s="9"/>
      <c r="P8" s="12"/>
      <c r="Q8" s="11"/>
    </row>
    <row r="9" spans="2:17" ht="30" customHeight="1" thickBot="1">
      <c r="B9" s="226" t="s">
        <v>79</v>
      </c>
      <c r="C9" s="227" t="s">
        <v>91</v>
      </c>
      <c r="D9" s="225" t="str">
        <f>"- jeśli nie stosuje się, wpisać to samo co w Konkurencja"</f>
        <v>- jeśli nie stosuje się, wpisać to samo co w Konkurencja</v>
      </c>
      <c r="E9" s="7"/>
      <c r="F9" s="7"/>
      <c r="G9" s="8"/>
      <c r="O9" s="9"/>
      <c r="P9" s="12"/>
      <c r="Q9" s="11"/>
    </row>
    <row r="10" spans="2:17" ht="20.100000000000001" customHeight="1">
      <c r="B10" s="13"/>
      <c r="C10" s="14"/>
      <c r="D10" s="6"/>
      <c r="E10" s="7"/>
      <c r="F10" s="7"/>
      <c r="G10" s="8"/>
      <c r="O10" s="9"/>
      <c r="P10" s="12"/>
      <c r="Q10" s="11"/>
    </row>
    <row r="11" spans="2:17" ht="20.100000000000001" customHeight="1">
      <c r="B11" s="13"/>
      <c r="C11" s="14"/>
      <c r="D11" s="6"/>
      <c r="E11" s="7"/>
      <c r="F11" s="7"/>
      <c r="G11" s="8"/>
      <c r="O11" s="9"/>
      <c r="P11" s="12"/>
      <c r="Q11" s="11"/>
    </row>
    <row r="12" spans="2:17" ht="20.100000000000001" customHeight="1">
      <c r="B12" s="13"/>
      <c r="C12" s="14"/>
      <c r="D12" s="6" t="s">
        <v>83</v>
      </c>
      <c r="E12" s="7"/>
      <c r="F12" s="7"/>
      <c r="G12" s="8"/>
      <c r="O12" s="9"/>
      <c r="P12" s="12"/>
      <c r="Q12" s="11"/>
    </row>
    <row r="13" spans="2:17" ht="20.100000000000001" customHeight="1">
      <c r="B13" s="13"/>
      <c r="C13" s="14"/>
      <c r="D13" s="6"/>
      <c r="E13" s="7"/>
      <c r="F13" s="7"/>
      <c r="G13" s="8"/>
      <c r="O13" s="9"/>
      <c r="P13" s="12"/>
      <c r="Q13" s="11"/>
    </row>
    <row r="14" spans="2:17" ht="20.100000000000001" customHeight="1">
      <c r="B14" s="13"/>
      <c r="C14" s="14"/>
      <c r="D14" s="6"/>
      <c r="E14" s="7"/>
      <c r="F14" s="7"/>
      <c r="G14" s="8"/>
      <c r="O14" s="9"/>
      <c r="P14" s="12"/>
      <c r="Q14" s="11"/>
    </row>
    <row r="15" spans="2:17" ht="20.100000000000001" customHeight="1">
      <c r="B15" s="13"/>
      <c r="C15" s="14"/>
      <c r="D15" s="6"/>
      <c r="E15" s="7"/>
      <c r="F15" s="7"/>
      <c r="G15" s="8"/>
      <c r="O15" s="9"/>
      <c r="P15" s="12"/>
      <c r="Q15" s="11"/>
    </row>
    <row r="16" spans="2:17" ht="20.100000000000001" customHeight="1"/>
    <row r="17" spans="3:7" ht="20.100000000000001" customHeight="1">
      <c r="G17" s="15"/>
    </row>
    <row r="18" spans="3:7" ht="20.100000000000001" customHeight="1"/>
    <row r="19" spans="3:7" ht="20.100000000000001" customHeight="1"/>
    <row r="20" spans="3:7" ht="20.100000000000001" customHeight="1"/>
    <row r="21" spans="3:7" ht="20.100000000000001" customHeight="1"/>
    <row r="22" spans="3:7" ht="20.100000000000001" customHeight="1">
      <c r="C22" s="14"/>
      <c r="D22" s="6"/>
      <c r="E22" s="7"/>
      <c r="F22" s="7"/>
      <c r="G22" s="8"/>
    </row>
    <row r="23" spans="3:7" ht="20.100000000000001" customHeight="1">
      <c r="C23" s="14"/>
      <c r="D23" s="6"/>
      <c r="E23" s="7"/>
      <c r="F23" s="7"/>
      <c r="G23" s="8"/>
    </row>
    <row r="24" spans="3:7" ht="20.100000000000001" customHeight="1">
      <c r="C24" s="14"/>
      <c r="D24" s="6"/>
      <c r="E24" s="7"/>
      <c r="F24" s="7"/>
      <c r="G24" s="8"/>
    </row>
    <row r="25" spans="3:7" ht="20.100000000000001" customHeight="1"/>
    <row r="26" spans="3:7" ht="20.100000000000001" customHeight="1"/>
    <row r="27" spans="3:7" ht="20.100000000000001" customHeight="1"/>
    <row r="28" spans="3:7" ht="20.100000000000001" customHeight="1"/>
    <row r="29" spans="3:7" ht="20.100000000000001" customHeight="1"/>
    <row r="30" spans="3:7" ht="20.100000000000001" customHeight="1"/>
    <row r="31" spans="3:7" ht="20.100000000000001" customHeight="1"/>
    <row r="32" spans="3:7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</sheetData>
  <mergeCells count="1">
    <mergeCell ref="B2:C2"/>
  </mergeCells>
  <printOptions horizontalCentered="1"/>
  <pageMargins left="0.39370078740157483" right="0.39370078740157483" top="0.23622047244094491" bottom="0.19685039370078741" header="0" footer="0.19685039370078741"/>
  <pageSetup paperSize="9" scale="40" orientation="portrait" horizontalDpi="4294967293" r:id="rId1"/>
  <headerFooter alignWithMargins="0">
    <oddFooter>&amp;L&amp;"-,Kursywa"&amp;12aktualizacja &amp;D godz. &amp;T&amp;C&amp;"-,Pogrubiony"&amp;12Wydział Rozgrywek PZTS&amp;R&amp;"-,Kursywa"&amp;12&amp;P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S26"/>
  <sheetViews>
    <sheetView zoomScale="70" zoomScaleNormal="70" workbookViewId="0">
      <selection activeCell="M20" sqref="M20"/>
    </sheetView>
  </sheetViews>
  <sheetFormatPr defaultColWidth="9.109375" defaultRowHeight="13.8"/>
  <cols>
    <col min="1" max="1" width="7.44140625" style="21" customWidth="1"/>
    <col min="2" max="2" width="7.44140625" style="22" customWidth="1"/>
    <col min="3" max="3" width="7.88671875" style="23" customWidth="1"/>
    <col min="4" max="4" width="35.88671875" style="24" customWidth="1"/>
    <col min="5" max="6" width="13.33203125" style="25" customWidth="1"/>
    <col min="7" max="7" width="34.109375" style="24" customWidth="1"/>
    <col min="8" max="8" width="10" style="25" customWidth="1"/>
    <col min="9" max="9" width="7.88671875" style="23" customWidth="1"/>
    <col min="10" max="10" width="35.88671875" style="24" customWidth="1"/>
    <col min="11" max="12" width="13.33203125" style="25" customWidth="1"/>
    <col min="13" max="13" width="34.109375" style="24" customWidth="1"/>
    <col min="14" max="15" width="10" style="25" customWidth="1"/>
    <col min="16" max="16" width="7.44140625" style="21" customWidth="1"/>
    <col min="17" max="17" width="7.44140625" style="37" customWidth="1"/>
    <col min="18" max="19" width="0" style="21" hidden="1" customWidth="1"/>
    <col min="20" max="16384" width="9.109375" style="21"/>
  </cols>
  <sheetData>
    <row r="1" spans="1:19" ht="43.5" customHeight="1">
      <c r="A1" s="278" t="str">
        <f>IF(info!C3="","",CONCATENATE(info!C3,", ",info!C4," ",info!C5))</f>
        <v>63. Mistrzostwa Polski Kolejarzy, Suchedniów 22-24.04.2022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216"/>
    </row>
    <row r="2" spans="1:19" ht="20.100000000000001" customHeight="1"/>
    <row r="3" spans="1:19" ht="28.5" customHeight="1">
      <c r="A3" s="275" t="str">
        <f>CONCATENATE(IF(info!C8="","",info!C8)," - lista")</f>
        <v>gra mieszana - lista</v>
      </c>
      <c r="B3" s="275"/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17"/>
    </row>
    <row r="4" spans="1:19" s="26" customFormat="1" ht="20.100000000000001" customHeight="1">
      <c r="A4" s="276"/>
      <c r="B4" s="277"/>
      <c r="C4" s="277"/>
      <c r="D4" s="277"/>
      <c r="E4" s="277"/>
      <c r="F4" s="277"/>
      <c r="G4" s="277"/>
      <c r="H4" s="277"/>
      <c r="I4" s="277"/>
      <c r="J4" s="277"/>
      <c r="K4" s="277"/>
      <c r="L4" s="277"/>
      <c r="M4" s="277"/>
      <c r="N4" s="277"/>
      <c r="O4" s="277"/>
      <c r="P4" s="277"/>
      <c r="Q4" s="214"/>
    </row>
    <row r="5" spans="1:19" ht="20.100000000000001" customHeight="1"/>
    <row r="6" spans="1:19" ht="20.100000000000001" customHeight="1">
      <c r="A6" s="27"/>
      <c r="B6" s="28" t="s">
        <v>38</v>
      </c>
      <c r="C6" s="29" t="s">
        <v>73</v>
      </c>
      <c r="D6" s="28" t="s">
        <v>2</v>
      </c>
      <c r="E6" s="28" t="s">
        <v>33</v>
      </c>
      <c r="F6" s="28" t="s">
        <v>32</v>
      </c>
      <c r="G6" s="28" t="s">
        <v>17</v>
      </c>
      <c r="H6" s="28" t="s">
        <v>28</v>
      </c>
      <c r="I6" s="29" t="s">
        <v>73</v>
      </c>
      <c r="J6" s="28" t="s">
        <v>2</v>
      </c>
      <c r="K6" s="28" t="s">
        <v>33</v>
      </c>
      <c r="L6" s="28" t="s">
        <v>32</v>
      </c>
      <c r="M6" s="28" t="s">
        <v>17</v>
      </c>
      <c r="N6" s="28" t="s">
        <v>28</v>
      </c>
      <c r="O6" s="28" t="s">
        <v>39</v>
      </c>
      <c r="P6" s="27"/>
      <c r="Q6" s="27"/>
      <c r="R6" s="29" t="s">
        <v>74</v>
      </c>
      <c r="S6" s="29" t="s">
        <v>75</v>
      </c>
    </row>
    <row r="7" spans="1:19" ht="20.100000000000001" customHeight="1"/>
    <row r="8" spans="1:19" ht="19.5" customHeight="1">
      <c r="B8" s="30" t="s">
        <v>1</v>
      </c>
      <c r="C8" s="238" t="s">
        <v>82</v>
      </c>
      <c r="D8" s="32" t="s">
        <v>92</v>
      </c>
      <c r="E8" s="269"/>
      <c r="F8" s="270"/>
      <c r="G8" s="240" t="s">
        <v>134</v>
      </c>
      <c r="H8" s="241"/>
      <c r="I8" s="238" t="s">
        <v>82</v>
      </c>
      <c r="J8" s="32" t="s">
        <v>93</v>
      </c>
      <c r="K8" s="269"/>
      <c r="L8" s="239"/>
      <c r="M8" s="240" t="s">
        <v>134</v>
      </c>
      <c r="N8" s="241"/>
      <c r="O8" s="242"/>
      <c r="R8" s="212" t="str">
        <f t="shared" ref="R8:R23" si="0">C8</f>
        <v>-</v>
      </c>
      <c r="S8" s="212" t="str">
        <f>I8</f>
        <v>-</v>
      </c>
    </row>
    <row r="9" spans="1:19" ht="19.5" customHeight="1">
      <c r="B9" s="30" t="s">
        <v>0</v>
      </c>
      <c r="C9" s="238" t="s">
        <v>82</v>
      </c>
      <c r="D9" s="32" t="s">
        <v>94</v>
      </c>
      <c r="E9" s="269"/>
      <c r="F9" s="239"/>
      <c r="G9" s="240" t="s">
        <v>127</v>
      </c>
      <c r="H9" s="241"/>
      <c r="I9" s="238" t="s">
        <v>82</v>
      </c>
      <c r="J9" s="32" t="s">
        <v>95</v>
      </c>
      <c r="K9" s="269"/>
      <c r="L9" s="239"/>
      <c r="M9" s="240" t="s">
        <v>127</v>
      </c>
      <c r="N9" s="241"/>
      <c r="O9" s="242"/>
      <c r="R9" s="212" t="str">
        <f t="shared" si="0"/>
        <v>-</v>
      </c>
      <c r="S9" s="212" t="str">
        <f t="shared" ref="S9:S23" si="1">I9</f>
        <v>-</v>
      </c>
    </row>
    <row r="10" spans="1:19" ht="19.5" customHeight="1">
      <c r="B10" s="30" t="s">
        <v>3</v>
      </c>
      <c r="C10" s="238" t="s">
        <v>82</v>
      </c>
      <c r="D10" s="32" t="s">
        <v>96</v>
      </c>
      <c r="E10" s="269"/>
      <c r="F10" s="239"/>
      <c r="G10" s="240" t="s">
        <v>127</v>
      </c>
      <c r="H10" s="241"/>
      <c r="I10" s="238" t="s">
        <v>82</v>
      </c>
      <c r="J10" s="32" t="s">
        <v>97</v>
      </c>
      <c r="K10" s="269"/>
      <c r="L10" s="239"/>
      <c r="M10" s="240" t="s">
        <v>127</v>
      </c>
      <c r="N10" s="241"/>
      <c r="O10" s="242"/>
      <c r="R10" s="212" t="str">
        <f t="shared" si="0"/>
        <v>-</v>
      </c>
      <c r="S10" s="212" t="str">
        <f t="shared" si="1"/>
        <v>-</v>
      </c>
    </row>
    <row r="11" spans="1:19" ht="19.5" customHeight="1">
      <c r="B11" s="30" t="s">
        <v>4</v>
      </c>
      <c r="C11" s="238" t="s">
        <v>82</v>
      </c>
      <c r="D11" s="32" t="s">
        <v>98</v>
      </c>
      <c r="E11" s="269"/>
      <c r="F11" s="239"/>
      <c r="G11" s="240" t="s">
        <v>127</v>
      </c>
      <c r="H11" s="241"/>
      <c r="I11" s="238" t="s">
        <v>82</v>
      </c>
      <c r="J11" s="32" t="s">
        <v>99</v>
      </c>
      <c r="K11" s="269"/>
      <c r="L11" s="239"/>
      <c r="M11" s="240" t="s">
        <v>127</v>
      </c>
      <c r="N11" s="241"/>
      <c r="O11" s="242"/>
      <c r="R11" s="212" t="str">
        <f t="shared" si="0"/>
        <v>-</v>
      </c>
      <c r="S11" s="212" t="str">
        <f t="shared" si="1"/>
        <v>-</v>
      </c>
    </row>
    <row r="12" spans="1:19" ht="19.5" customHeight="1">
      <c r="B12" s="30" t="s">
        <v>5</v>
      </c>
      <c r="C12" s="238" t="s">
        <v>82</v>
      </c>
      <c r="D12" s="32" t="s">
        <v>100</v>
      </c>
      <c r="E12" s="269"/>
      <c r="F12" s="239"/>
      <c r="G12" s="240" t="s">
        <v>129</v>
      </c>
      <c r="H12" s="241"/>
      <c r="I12" s="238" t="s">
        <v>82</v>
      </c>
      <c r="J12" s="32" t="s">
        <v>101</v>
      </c>
      <c r="K12" s="269"/>
      <c r="L12" s="239"/>
      <c r="M12" s="240" t="s">
        <v>129</v>
      </c>
      <c r="N12" s="241"/>
      <c r="O12" s="242"/>
      <c r="R12" s="212" t="str">
        <f t="shared" si="0"/>
        <v>-</v>
      </c>
      <c r="S12" s="212" t="str">
        <f t="shared" si="1"/>
        <v>-</v>
      </c>
    </row>
    <row r="13" spans="1:19" ht="19.5" customHeight="1">
      <c r="B13" s="30" t="s">
        <v>6</v>
      </c>
      <c r="C13" s="238" t="s">
        <v>82</v>
      </c>
      <c r="D13" s="32" t="s">
        <v>102</v>
      </c>
      <c r="E13" s="269"/>
      <c r="F13" s="239"/>
      <c r="G13" s="240" t="s">
        <v>129</v>
      </c>
      <c r="H13" s="241"/>
      <c r="I13" s="238" t="s">
        <v>82</v>
      </c>
      <c r="J13" s="32" t="s">
        <v>103</v>
      </c>
      <c r="K13" s="269"/>
      <c r="L13" s="239"/>
      <c r="M13" s="240" t="s">
        <v>129</v>
      </c>
      <c r="N13" s="241"/>
      <c r="O13" s="242"/>
      <c r="R13" s="212" t="str">
        <f t="shared" si="0"/>
        <v>-</v>
      </c>
      <c r="S13" s="212" t="str">
        <f t="shared" si="1"/>
        <v>-</v>
      </c>
    </row>
    <row r="14" spans="1:19" ht="19.5" customHeight="1">
      <c r="B14" s="30" t="s">
        <v>7</v>
      </c>
      <c r="C14" s="238" t="s">
        <v>82</v>
      </c>
      <c r="D14" s="32" t="s">
        <v>104</v>
      </c>
      <c r="E14" s="269"/>
      <c r="F14" s="239"/>
      <c r="G14" s="240" t="s">
        <v>129</v>
      </c>
      <c r="H14" s="241"/>
      <c r="I14" s="238" t="s">
        <v>82</v>
      </c>
      <c r="J14" s="32" t="s">
        <v>107</v>
      </c>
      <c r="K14" s="269"/>
      <c r="L14" s="239"/>
      <c r="M14" s="240" t="s">
        <v>129</v>
      </c>
      <c r="N14" s="241"/>
      <c r="O14" s="242"/>
      <c r="R14" s="212" t="str">
        <f t="shared" si="0"/>
        <v>-</v>
      </c>
      <c r="S14" s="212" t="str">
        <f t="shared" si="1"/>
        <v>-</v>
      </c>
    </row>
    <row r="15" spans="1:19" ht="19.5" customHeight="1">
      <c r="B15" s="30" t="s">
        <v>8</v>
      </c>
      <c r="C15" s="238" t="s">
        <v>82</v>
      </c>
      <c r="D15" s="32" t="s">
        <v>105</v>
      </c>
      <c r="E15" s="269"/>
      <c r="F15" s="239"/>
      <c r="G15" s="240" t="s">
        <v>133</v>
      </c>
      <c r="H15" s="241"/>
      <c r="I15" s="238" t="s">
        <v>82</v>
      </c>
      <c r="J15" s="32" t="s">
        <v>106</v>
      </c>
      <c r="K15" s="269"/>
      <c r="L15" s="239"/>
      <c r="M15" s="240" t="s">
        <v>133</v>
      </c>
      <c r="N15" s="241"/>
      <c r="O15" s="242"/>
      <c r="R15" s="212" t="str">
        <f t="shared" si="0"/>
        <v>-</v>
      </c>
      <c r="S15" s="212" t="str">
        <f t="shared" si="1"/>
        <v>-</v>
      </c>
    </row>
    <row r="16" spans="1:19" ht="19.5" customHeight="1">
      <c r="B16" s="30" t="s">
        <v>9</v>
      </c>
      <c r="C16" s="238" t="s">
        <v>82</v>
      </c>
      <c r="D16" s="32" t="s">
        <v>108</v>
      </c>
      <c r="E16" s="269"/>
      <c r="F16" s="239"/>
      <c r="G16" s="240" t="s">
        <v>128</v>
      </c>
      <c r="H16" s="241"/>
      <c r="I16" s="238" t="s">
        <v>82</v>
      </c>
      <c r="J16" s="32" t="s">
        <v>109</v>
      </c>
      <c r="K16" s="269"/>
      <c r="L16" s="239"/>
      <c r="M16" s="240" t="s">
        <v>128</v>
      </c>
      <c r="N16" s="241"/>
      <c r="O16" s="242"/>
      <c r="R16" s="212" t="str">
        <f t="shared" si="0"/>
        <v>-</v>
      </c>
      <c r="S16" s="212" t="str">
        <f t="shared" si="1"/>
        <v>-</v>
      </c>
    </row>
    <row r="17" spans="1:19" ht="19.5" customHeight="1">
      <c r="B17" s="30" t="s">
        <v>10</v>
      </c>
      <c r="C17" s="238" t="s">
        <v>82</v>
      </c>
      <c r="D17" s="32" t="s">
        <v>110</v>
      </c>
      <c r="E17" s="269"/>
      <c r="F17" s="239"/>
      <c r="G17" s="240" t="s">
        <v>128</v>
      </c>
      <c r="H17" s="241"/>
      <c r="I17" s="238" t="s">
        <v>82</v>
      </c>
      <c r="J17" s="32" t="s">
        <v>111</v>
      </c>
      <c r="K17" s="269"/>
      <c r="L17" s="239"/>
      <c r="M17" s="240" t="s">
        <v>128</v>
      </c>
      <c r="N17" s="241"/>
      <c r="O17" s="242"/>
      <c r="R17" s="212" t="str">
        <f t="shared" si="0"/>
        <v>-</v>
      </c>
      <c r="S17" s="212" t="str">
        <f t="shared" si="1"/>
        <v>-</v>
      </c>
    </row>
    <row r="18" spans="1:19" ht="19.5" customHeight="1">
      <c r="B18" s="30" t="s">
        <v>11</v>
      </c>
      <c r="C18" s="238" t="s">
        <v>82</v>
      </c>
      <c r="D18" s="32" t="s">
        <v>112</v>
      </c>
      <c r="E18" s="269"/>
      <c r="F18" s="239"/>
      <c r="G18" s="240" t="s">
        <v>128</v>
      </c>
      <c r="H18" s="241"/>
      <c r="I18" s="238" t="s">
        <v>82</v>
      </c>
      <c r="J18" s="32" t="s">
        <v>113</v>
      </c>
      <c r="K18" s="269"/>
      <c r="L18" s="239"/>
      <c r="M18" s="240" t="s">
        <v>128</v>
      </c>
      <c r="N18" s="241"/>
      <c r="O18" s="242"/>
      <c r="R18" s="212" t="str">
        <f t="shared" si="0"/>
        <v>-</v>
      </c>
      <c r="S18" s="212" t="str">
        <f t="shared" si="1"/>
        <v>-</v>
      </c>
    </row>
    <row r="19" spans="1:19" ht="19.5" customHeight="1">
      <c r="B19" s="30" t="s">
        <v>12</v>
      </c>
      <c r="C19" s="238" t="s">
        <v>82</v>
      </c>
      <c r="D19" s="32" t="s">
        <v>114</v>
      </c>
      <c r="E19" s="269"/>
      <c r="F19" s="239"/>
      <c r="G19" s="240" t="s">
        <v>128</v>
      </c>
      <c r="H19" s="241"/>
      <c r="I19" s="238" t="s">
        <v>82</v>
      </c>
      <c r="J19" s="32" t="s">
        <v>115</v>
      </c>
      <c r="K19" s="269"/>
      <c r="L19" s="239"/>
      <c r="M19" s="240" t="s">
        <v>128</v>
      </c>
      <c r="N19" s="241"/>
      <c r="O19" s="242"/>
      <c r="R19" s="212" t="str">
        <f t="shared" si="0"/>
        <v>-</v>
      </c>
      <c r="S19" s="212" t="str">
        <f t="shared" si="1"/>
        <v>-</v>
      </c>
    </row>
    <row r="20" spans="1:19" ht="19.5" customHeight="1">
      <c r="B20" s="30" t="s">
        <v>13</v>
      </c>
      <c r="C20" s="238" t="s">
        <v>82</v>
      </c>
      <c r="D20" s="32" t="s">
        <v>116</v>
      </c>
      <c r="E20" s="269"/>
      <c r="F20" s="239"/>
      <c r="G20" s="240" t="s">
        <v>130</v>
      </c>
      <c r="H20" s="241"/>
      <c r="I20" s="238" t="s">
        <v>82</v>
      </c>
      <c r="J20" s="32" t="s">
        <v>117</v>
      </c>
      <c r="K20" s="269"/>
      <c r="L20" s="239"/>
      <c r="M20" s="240" t="s">
        <v>130</v>
      </c>
      <c r="N20" s="241"/>
      <c r="O20" s="242"/>
      <c r="R20" s="212" t="str">
        <f t="shared" si="0"/>
        <v>-</v>
      </c>
      <c r="S20" s="212" t="str">
        <f t="shared" si="1"/>
        <v>-</v>
      </c>
    </row>
    <row r="21" spans="1:19" ht="19.5" customHeight="1">
      <c r="B21" s="30" t="s">
        <v>14</v>
      </c>
      <c r="C21" s="238" t="s">
        <v>82</v>
      </c>
      <c r="D21" s="32" t="s">
        <v>118</v>
      </c>
      <c r="E21" s="269"/>
      <c r="F21" s="239"/>
      <c r="G21" s="240" t="s">
        <v>131</v>
      </c>
      <c r="H21" s="241"/>
      <c r="I21" s="238" t="s">
        <v>82</v>
      </c>
      <c r="J21" s="32" t="s">
        <v>119</v>
      </c>
      <c r="K21" s="269"/>
      <c r="L21" s="239"/>
      <c r="M21" s="240" t="s">
        <v>131</v>
      </c>
      <c r="N21" s="241"/>
      <c r="O21" s="242"/>
      <c r="R21" s="212" t="str">
        <f t="shared" si="0"/>
        <v>-</v>
      </c>
      <c r="S21" s="212" t="str">
        <f t="shared" si="1"/>
        <v>-</v>
      </c>
    </row>
    <row r="22" spans="1:19" ht="19.5" customHeight="1">
      <c r="B22" s="30" t="s">
        <v>15</v>
      </c>
      <c r="C22" s="238" t="s">
        <v>82</v>
      </c>
      <c r="D22" s="32" t="s">
        <v>120</v>
      </c>
      <c r="E22" s="239"/>
      <c r="F22" s="239"/>
      <c r="G22" s="240" t="s">
        <v>131</v>
      </c>
      <c r="H22" s="241"/>
      <c r="I22" s="238" t="s">
        <v>82</v>
      </c>
      <c r="J22" s="32" t="s">
        <v>121</v>
      </c>
      <c r="K22" s="239"/>
      <c r="L22" s="239"/>
      <c r="M22" s="240" t="s">
        <v>131</v>
      </c>
      <c r="N22" s="241"/>
      <c r="O22" s="242"/>
      <c r="R22" s="212" t="str">
        <f t="shared" si="0"/>
        <v>-</v>
      </c>
      <c r="S22" s="212" t="str">
        <f t="shared" si="1"/>
        <v>-</v>
      </c>
    </row>
    <row r="23" spans="1:19" ht="19.5" customHeight="1">
      <c r="B23" s="30" t="s">
        <v>16</v>
      </c>
      <c r="C23" s="238" t="s">
        <v>82</v>
      </c>
      <c r="D23" s="32" t="s">
        <v>122</v>
      </c>
      <c r="E23" s="239"/>
      <c r="F23" s="239"/>
      <c r="G23" s="240" t="s">
        <v>132</v>
      </c>
      <c r="H23" s="241"/>
      <c r="I23" s="238" t="s">
        <v>82</v>
      </c>
      <c r="J23" s="32" t="s">
        <v>123</v>
      </c>
      <c r="K23" s="239"/>
      <c r="L23" s="239"/>
      <c r="M23" s="240" t="s">
        <v>132</v>
      </c>
      <c r="N23" s="241"/>
      <c r="O23" s="242"/>
      <c r="R23" s="212" t="str">
        <f t="shared" si="0"/>
        <v>-</v>
      </c>
      <c r="S23" s="212" t="str">
        <f t="shared" si="1"/>
        <v>-</v>
      </c>
    </row>
    <row r="24" spans="1:19" ht="20.100000000000001" customHeight="1">
      <c r="B24" s="22" t="s">
        <v>29</v>
      </c>
      <c r="C24" s="23" t="s">
        <v>29</v>
      </c>
      <c r="D24" s="24" t="s">
        <v>29</v>
      </c>
      <c r="E24" s="25" t="s">
        <v>29</v>
      </c>
      <c r="G24" s="24" t="s">
        <v>29</v>
      </c>
      <c r="H24" s="25" t="s">
        <v>29</v>
      </c>
      <c r="I24" s="23" t="s">
        <v>29</v>
      </c>
      <c r="J24" s="24" t="s">
        <v>29</v>
      </c>
      <c r="K24" s="25" t="s">
        <v>29</v>
      </c>
      <c r="M24" s="24" t="s">
        <v>29</v>
      </c>
      <c r="N24" s="25" t="s">
        <v>29</v>
      </c>
      <c r="R24" s="213"/>
      <c r="S24" s="213"/>
    </row>
    <row r="25" spans="1:19" ht="20.100000000000001" customHeight="1">
      <c r="A25" s="247"/>
      <c r="B25" s="20"/>
      <c r="C25" s="34"/>
      <c r="D25" s="35"/>
      <c r="E25" s="35"/>
      <c r="F25" s="35"/>
      <c r="G25" s="34"/>
      <c r="H25" s="34"/>
      <c r="I25" s="34"/>
      <c r="J25" s="35"/>
      <c r="K25" s="35"/>
      <c r="L25" s="35"/>
      <c r="M25" s="34"/>
      <c r="N25" s="34"/>
      <c r="O25" s="197"/>
      <c r="P25" s="17"/>
      <c r="Q25" s="218"/>
      <c r="R25" s="213"/>
      <c r="S25" s="213"/>
    </row>
    <row r="26" spans="1:19" ht="20.100000000000001" customHeight="1">
      <c r="P26" s="255" t="s">
        <v>81</v>
      </c>
      <c r="R26" s="213"/>
      <c r="S26" s="213"/>
    </row>
  </sheetData>
  <sheetProtection formatCells="0" formatColumns="0" formatRows="0" insertColumns="0" insertRows="0"/>
  <mergeCells count="3">
    <mergeCell ref="A3:P3"/>
    <mergeCell ref="A4:P4"/>
    <mergeCell ref="A1:P1"/>
  </mergeCells>
  <printOptions horizontalCentered="1"/>
  <pageMargins left="0.39370078740157483" right="0.39370078740157483" top="0.23622047244094491" bottom="0.19685039370078741" header="0" footer="0"/>
  <pageSetup paperSize="9" scale="5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X62"/>
  <sheetViews>
    <sheetView topLeftCell="A22" zoomScale="70" zoomScaleNormal="70" workbookViewId="0">
      <selection activeCell="L59" sqref="L59"/>
    </sheetView>
  </sheetViews>
  <sheetFormatPr defaultColWidth="9.109375" defaultRowHeight="18"/>
  <cols>
    <col min="1" max="1" width="4.6640625" style="127" customWidth="1"/>
    <col min="2" max="2" width="4.88671875" style="78" customWidth="1"/>
    <col min="3" max="3" width="23.33203125" style="72" customWidth="1"/>
    <col min="4" max="4" width="3.6640625" style="119" customWidth="1"/>
    <col min="5" max="5" width="4.88671875" style="71" customWidth="1"/>
    <col min="6" max="6" width="23.33203125" style="72" customWidth="1"/>
    <col min="7" max="7" width="3.6640625" style="73" customWidth="1"/>
    <col min="8" max="8" width="4.88671875" style="71" customWidth="1"/>
    <col min="9" max="9" width="23.33203125" style="72" customWidth="1"/>
    <col min="10" max="10" width="3.6640625" style="73" customWidth="1"/>
    <col min="11" max="11" width="4.88671875" style="74" customWidth="1"/>
    <col min="12" max="12" width="23.33203125" style="72" customWidth="1"/>
    <col min="13" max="13" width="3.6640625" style="75" customWidth="1"/>
    <col min="14" max="15" width="9.109375" style="72"/>
    <col min="16" max="16" width="9.109375" style="121"/>
    <col min="17" max="20" width="20.6640625" style="121" customWidth="1"/>
    <col min="21" max="21" width="21.6640625" style="121" customWidth="1"/>
    <col min="22" max="16384" width="9.109375" style="72"/>
  </cols>
  <sheetData>
    <row r="1" spans="1:21" s="45" customFormat="1" ht="43.5" customHeight="1">
      <c r="A1" s="291" t="str">
        <f>IF(info!C3="","",CONCATENATE(info!C3,", ",info!C4," ",info!C5))</f>
        <v>63. Mistrzostwa Polski Kolejarzy, Suchedniów 22-24.04.2022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  <c r="P1" s="46"/>
      <c r="Q1" s="46"/>
      <c r="R1" s="46"/>
      <c r="S1" s="46"/>
      <c r="T1" s="46"/>
      <c r="U1" s="46"/>
    </row>
    <row r="2" spans="1:21" s="45" customFormat="1" ht="20.100000000000001" customHeight="1">
      <c r="A2" s="47"/>
      <c r="B2" s="48"/>
      <c r="D2" s="49"/>
      <c r="E2" s="50"/>
      <c r="F2" s="48"/>
      <c r="G2" s="51"/>
      <c r="H2" s="50"/>
      <c r="J2" s="52"/>
      <c r="K2" s="53"/>
      <c r="P2" s="46"/>
      <c r="Q2" s="46"/>
      <c r="R2" s="46"/>
      <c r="S2" s="46"/>
      <c r="T2" s="46"/>
      <c r="U2" s="46"/>
    </row>
    <row r="3" spans="1:21" s="45" customFormat="1" ht="28.5" customHeight="1">
      <c r="A3" s="290" t="str">
        <f>CONCATENATE(IF(info!C8="","",info!C8)," - turniej główny")</f>
        <v>gra mieszana - turniej główny</v>
      </c>
      <c r="B3" s="290"/>
      <c r="C3" s="290"/>
      <c r="D3" s="290"/>
      <c r="E3" s="290"/>
      <c r="F3" s="290"/>
      <c r="G3" s="290"/>
      <c r="H3" s="290"/>
      <c r="I3" s="290"/>
      <c r="J3" s="290"/>
      <c r="K3" s="290"/>
      <c r="L3" s="290"/>
      <c r="M3" s="290"/>
      <c r="P3" s="46"/>
      <c r="Q3" s="46"/>
      <c r="R3" s="46"/>
      <c r="S3" s="46"/>
      <c r="T3" s="46"/>
      <c r="U3" s="46"/>
    </row>
    <row r="4" spans="1:21" s="45" customFormat="1" ht="20.100000000000001" customHeight="1">
      <c r="A4" s="54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P4" s="46"/>
      <c r="Q4" s="46"/>
      <c r="R4" s="46"/>
      <c r="S4" s="46"/>
      <c r="T4" s="46"/>
      <c r="U4" s="46"/>
    </row>
    <row r="5" spans="1:21" s="46" customFormat="1" ht="20.100000000000001" customHeight="1">
      <c r="A5" s="61"/>
      <c r="B5" s="280" t="s">
        <v>18</v>
      </c>
      <c r="C5" s="280"/>
      <c r="D5" s="280"/>
      <c r="E5" s="280" t="s">
        <v>19</v>
      </c>
      <c r="F5" s="280"/>
      <c r="G5" s="280"/>
      <c r="H5" s="280" t="s">
        <v>20</v>
      </c>
      <c r="I5" s="280"/>
      <c r="J5" s="280"/>
      <c r="K5" s="280" t="s">
        <v>40</v>
      </c>
      <c r="L5" s="280"/>
      <c r="M5" s="280"/>
      <c r="P5" s="62" t="s">
        <v>41</v>
      </c>
      <c r="Q5" s="62" t="s">
        <v>69</v>
      </c>
      <c r="R5" s="62" t="s">
        <v>70</v>
      </c>
      <c r="S5" s="62" t="s">
        <v>71</v>
      </c>
      <c r="T5" s="62" t="s">
        <v>72</v>
      </c>
      <c r="U5" s="62" t="s">
        <v>42</v>
      </c>
    </row>
    <row r="6" spans="1:21" s="45" customFormat="1" ht="20.100000000000001" customHeight="1">
      <c r="A6" s="56"/>
      <c r="B6" s="63"/>
      <c r="C6" s="63"/>
      <c r="D6" s="64"/>
      <c r="E6" s="59"/>
      <c r="F6" s="57"/>
      <c r="G6" s="60"/>
      <c r="H6" s="59"/>
      <c r="I6" s="57"/>
      <c r="J6" s="60"/>
      <c r="K6" s="59"/>
      <c r="L6" s="57"/>
      <c r="M6" s="57"/>
      <c r="P6" s="65">
        <v>101</v>
      </c>
      <c r="Q6" s="252" t="str">
        <f>C7</f>
        <v>LEWANDOWSKA Grażyna</v>
      </c>
      <c r="R6" s="252" t="str">
        <f>C8</f>
        <v>MIKOŁAJCZAK Piotr</v>
      </c>
      <c r="S6" s="252" t="str">
        <f>C10</f>
        <v>ŚLUSARCZYK Urszula</v>
      </c>
      <c r="T6" s="252" t="str">
        <f>C11</f>
        <v>KOZIEŁ Łukasz</v>
      </c>
      <c r="U6" s="252" t="s">
        <v>29</v>
      </c>
    </row>
    <row r="7" spans="1:21" ht="20.100000000000001" customHeight="1">
      <c r="A7" s="281" t="s">
        <v>37</v>
      </c>
      <c r="B7" s="67"/>
      <c r="C7" s="283" t="str">
        <f>VLOOKUP("1.",lista!B8:O23,3,FALSE)</f>
        <v>LEWANDOWSKA Grażyna</v>
      </c>
      <c r="D7" s="284"/>
      <c r="E7" s="68"/>
      <c r="F7" s="69"/>
      <c r="G7" s="70"/>
      <c r="P7" s="65">
        <v>102</v>
      </c>
      <c r="Q7" s="252" t="str">
        <f>C13</f>
        <v>ROSOLSKA Marzena</v>
      </c>
      <c r="R7" s="252" t="str">
        <f>C14</f>
        <v>HANDKE Paweł</v>
      </c>
      <c r="S7" s="252" t="str">
        <f>C16</f>
        <v>CZERWIŃSKA Krystyna</v>
      </c>
      <c r="T7" s="252" t="str">
        <f>C17</f>
        <v>OWSIANNY Jarosław</v>
      </c>
      <c r="U7" s="252" t="s">
        <v>29</v>
      </c>
    </row>
    <row r="8" spans="1:21" ht="20.100000000000001" customHeight="1">
      <c r="A8" s="281"/>
      <c r="B8" s="67"/>
      <c r="C8" s="283" t="str">
        <f>VLOOKUP("1.",lista!B8:O23,9,FALSE)</f>
        <v>MIKOŁAJCZAK Piotr</v>
      </c>
      <c r="D8" s="284"/>
      <c r="E8" s="76"/>
      <c r="F8" s="279" t="str">
        <f>IF(E10=1,C7,IF(E10=2,C10," "))</f>
        <v>LEWANDOWSKA Grażyna</v>
      </c>
      <c r="G8" s="279"/>
      <c r="P8" s="65">
        <v>103</v>
      </c>
      <c r="Q8" s="252" t="str">
        <f>C19</f>
        <v>KASPRZAK Natalia</v>
      </c>
      <c r="R8" s="252" t="str">
        <f>C20</f>
        <v>PAWŁOWSKI Stanisław</v>
      </c>
      <c r="S8" s="252" t="str">
        <f>C22</f>
        <v>BALCERZAK Aneta</v>
      </c>
      <c r="T8" s="252" t="str">
        <f>C23</f>
        <v>PIECHNIK Henryk</v>
      </c>
      <c r="U8" s="252" t="s">
        <v>29</v>
      </c>
    </row>
    <row r="9" spans="1:21" ht="20.100000000000001" customHeight="1">
      <c r="A9" s="77"/>
      <c r="C9" s="16">
        <v>1</v>
      </c>
      <c r="D9" s="79"/>
      <c r="E9" s="80"/>
      <c r="F9" s="285" t="str">
        <f>IF(E10=1,C8,IF(E10=2,C11," "))</f>
        <v>MIKOŁAJCZAK Piotr</v>
      </c>
      <c r="G9" s="285"/>
      <c r="P9" s="65">
        <v>104</v>
      </c>
      <c r="Q9" s="252" t="str">
        <f>C25</f>
        <v>PRYSTUPA Marta</v>
      </c>
      <c r="R9" s="252" t="str">
        <f>C26</f>
        <v>NAWOJCZYK Rafał</v>
      </c>
      <c r="S9" s="252" t="str">
        <f>C28</f>
        <v>STOMA-SZARKOWICZ Magdalena</v>
      </c>
      <c r="T9" s="252" t="str">
        <f>C29</f>
        <v>PAŁĘGA Józef</v>
      </c>
      <c r="U9" s="252" t="s">
        <v>29</v>
      </c>
    </row>
    <row r="10" spans="1:21" ht="20.100000000000001" customHeight="1">
      <c r="A10" s="281" t="s">
        <v>43</v>
      </c>
      <c r="B10" s="81"/>
      <c r="C10" s="279" t="str">
        <f>VLOOKUP("16.",lista!B8:O23,3,FALSE)</f>
        <v>ŚLUSARCZYK Urszula</v>
      </c>
      <c r="D10" s="286"/>
      <c r="E10" s="82">
        <v>1</v>
      </c>
      <c r="F10" s="312" t="s">
        <v>124</v>
      </c>
      <c r="G10" s="84"/>
      <c r="P10" s="65">
        <v>105</v>
      </c>
      <c r="Q10" s="252" t="str">
        <f>C31</f>
        <v>GROLIK Agnieszka</v>
      </c>
      <c r="R10" s="252" t="str">
        <f>C32</f>
        <v>DOMAGAŁA Dariusz</v>
      </c>
      <c r="S10" s="252" t="str">
        <f>C34</f>
        <v>WITASIK Jolanta</v>
      </c>
      <c r="T10" s="252" t="str">
        <f>C35</f>
        <v>DROBNY Maciej</v>
      </c>
      <c r="U10" s="252" t="s">
        <v>29</v>
      </c>
    </row>
    <row r="11" spans="1:21" ht="20.100000000000001" customHeight="1">
      <c r="A11" s="281"/>
      <c r="B11" s="81"/>
      <c r="C11" s="288" t="str">
        <f>VLOOKUP("16.",lista!B8:O23,9,FALSE)</f>
        <v>KOZIEŁ Łukasz</v>
      </c>
      <c r="D11" s="289"/>
      <c r="F11" s="85"/>
      <c r="G11" s="86"/>
      <c r="H11" s="87"/>
      <c r="I11" s="88"/>
      <c r="J11" s="70"/>
      <c r="P11" s="65">
        <v>106</v>
      </c>
      <c r="Q11" s="252" t="str">
        <f>C37</f>
        <v>WŁODAREK-SZCZEPANIAK Magdalena</v>
      </c>
      <c r="R11" s="252" t="str">
        <f>C38</f>
        <v>BAZEWICZ Wiesław</v>
      </c>
      <c r="S11" s="252" t="str">
        <f>C40</f>
        <v>GAPSKA Krystyna</v>
      </c>
      <c r="T11" s="252" t="str">
        <f>C41</f>
        <v>NOWAKOWSKI Robert</v>
      </c>
      <c r="U11" s="252" t="s">
        <v>29</v>
      </c>
    </row>
    <row r="12" spans="1:21" ht="20.100000000000001" customHeight="1">
      <c r="A12" s="77"/>
      <c r="B12" s="89"/>
      <c r="C12" s="90"/>
      <c r="D12" s="91"/>
      <c r="F12" s="16">
        <v>10</v>
      </c>
      <c r="G12" s="92"/>
      <c r="H12" s="76"/>
      <c r="I12" s="279" t="str">
        <f>IF(H14=1,F8,IF(H14=2,F14," "))</f>
        <v>CZERWIŃSKA Krystyna</v>
      </c>
      <c r="J12" s="279"/>
      <c r="P12" s="65">
        <v>107</v>
      </c>
      <c r="Q12" s="252" t="str">
        <f>C43</f>
        <v>GRAŚ Anna</v>
      </c>
      <c r="R12" s="252" t="str">
        <f>C44</f>
        <v>LATAŃSKI Dariusz</v>
      </c>
      <c r="S12" s="252" t="str">
        <f>C46</f>
        <v>KRAJEWSKA Elżbieta</v>
      </c>
      <c r="T12" s="252" t="str">
        <f>C47</f>
        <v>BARTCZAK Henryk</v>
      </c>
      <c r="U12" s="252" t="s">
        <v>29</v>
      </c>
    </row>
    <row r="13" spans="1:21" ht="20.100000000000001" customHeight="1">
      <c r="A13" s="281" t="s">
        <v>44</v>
      </c>
      <c r="B13" s="81"/>
      <c r="C13" s="283" t="str">
        <f>VLOOKUP("9.",lista!B8:O23,3,FALSE)</f>
        <v>ROSOLSKA Marzena</v>
      </c>
      <c r="D13" s="284"/>
      <c r="E13" s="93"/>
      <c r="F13" s="85"/>
      <c r="G13" s="86"/>
      <c r="H13" s="80"/>
      <c r="I13" s="285" t="str">
        <f>IF(H14=1,F9,IF(H14=2,F15," "))</f>
        <v>OWSIANNY Jarosław</v>
      </c>
      <c r="J13" s="285"/>
      <c r="L13" s="85"/>
      <c r="M13" s="94"/>
      <c r="P13" s="65">
        <v>108</v>
      </c>
      <c r="Q13" s="252" t="str">
        <f>C49</f>
        <v>MICHALSKA Elżbieta</v>
      </c>
      <c r="R13" s="252" t="str">
        <f>C50</f>
        <v>KOSTRZEWSKI Krzysztof</v>
      </c>
      <c r="S13" s="252" t="str">
        <f>C52</f>
        <v>PRZEKAZIŃSKA Katarzyna</v>
      </c>
      <c r="T13" s="252" t="str">
        <f>C53</f>
        <v>PODSIADŁO Zbigniew</v>
      </c>
      <c r="U13" s="252" t="s">
        <v>29</v>
      </c>
    </row>
    <row r="14" spans="1:21" ht="20.100000000000001" customHeight="1">
      <c r="A14" s="281"/>
      <c r="B14" s="95"/>
      <c r="C14" s="279" t="str">
        <f>VLOOKUP("9.",lista!B8:O23,9,FALSE)</f>
        <v>HANDKE Paweł</v>
      </c>
      <c r="D14" s="286"/>
      <c r="E14" s="76"/>
      <c r="F14" s="279" t="str">
        <f>IF(E16=1,C13,IF(E16=2,C16," "))</f>
        <v>CZERWIŃSKA Krystyna</v>
      </c>
      <c r="G14" s="286"/>
      <c r="H14" s="82">
        <v>2</v>
      </c>
      <c r="I14" s="312" t="s">
        <v>125</v>
      </c>
      <c r="J14" s="84"/>
      <c r="L14" s="85"/>
      <c r="M14" s="94"/>
      <c r="P14" s="72"/>
      <c r="Q14" s="72"/>
      <c r="R14" s="72"/>
      <c r="S14" s="72"/>
      <c r="T14" s="72"/>
      <c r="U14" s="72"/>
    </row>
    <row r="15" spans="1:21" ht="20.100000000000001" customHeight="1">
      <c r="A15" s="77"/>
      <c r="C15" s="16">
        <v>2</v>
      </c>
      <c r="D15" s="96"/>
      <c r="E15" s="80"/>
      <c r="F15" s="285" t="str">
        <f>IF(E16=1,C14,IF(E16=2,C17," "))</f>
        <v>OWSIANNY Jarosław</v>
      </c>
      <c r="G15" s="287"/>
      <c r="H15" s="97"/>
      <c r="I15" s="32"/>
      <c r="J15" s="98"/>
      <c r="K15" s="99"/>
      <c r="L15" s="32"/>
      <c r="M15" s="32"/>
      <c r="P15" s="72"/>
      <c r="Q15" s="72"/>
      <c r="R15" s="72"/>
      <c r="S15" s="72"/>
      <c r="T15" s="72"/>
      <c r="U15" s="72"/>
    </row>
    <row r="16" spans="1:21" ht="20.100000000000001" customHeight="1">
      <c r="A16" s="281" t="s">
        <v>45</v>
      </c>
      <c r="B16" s="100"/>
      <c r="C16" s="279" t="str">
        <f>VLOOKUP("8.",lista!B8:O23,3,FALSE)</f>
        <v>CZERWIŃSKA Krystyna</v>
      </c>
      <c r="D16" s="286"/>
      <c r="E16" s="82">
        <v>2</v>
      </c>
      <c r="F16" s="312" t="s">
        <v>124</v>
      </c>
      <c r="G16" s="83"/>
      <c r="H16" s="97"/>
      <c r="I16" s="32"/>
      <c r="J16" s="98"/>
      <c r="K16" s="99"/>
      <c r="L16" s="32"/>
      <c r="M16" s="32"/>
      <c r="P16" s="72"/>
      <c r="Q16" s="72"/>
      <c r="R16" s="72"/>
      <c r="S16" s="72"/>
      <c r="T16" s="72"/>
      <c r="U16" s="72"/>
    </row>
    <row r="17" spans="1:22" ht="20.100000000000001" customHeight="1">
      <c r="A17" s="281"/>
      <c r="B17" s="101"/>
      <c r="C17" s="288" t="str">
        <f>VLOOKUP("8.",lista!B8:O23,9,FALSE)</f>
        <v>OWSIANNY Jarosław</v>
      </c>
      <c r="D17" s="289"/>
      <c r="E17" s="87"/>
      <c r="F17" s="69"/>
      <c r="G17" s="70"/>
      <c r="H17" s="87"/>
      <c r="I17" s="69"/>
      <c r="J17" s="102"/>
      <c r="K17" s="104"/>
      <c r="L17" s="188"/>
      <c r="M17" s="106"/>
      <c r="P17" s="72"/>
      <c r="Q17" s="72"/>
      <c r="R17" s="72"/>
      <c r="S17" s="72"/>
      <c r="T17" s="72"/>
      <c r="U17" s="72"/>
    </row>
    <row r="18" spans="1:22" ht="20.100000000000001" customHeight="1">
      <c r="A18" s="77"/>
      <c r="B18" s="89"/>
      <c r="C18" s="90"/>
      <c r="D18" s="91"/>
      <c r="E18" s="93"/>
      <c r="F18" s="85"/>
      <c r="G18" s="103"/>
      <c r="J18" s="282" t="s">
        <v>21</v>
      </c>
      <c r="K18" s="76"/>
      <c r="L18" s="279" t="str">
        <f>IF(K20=1,I12,IF(K20=2,I24," "))</f>
        <v>KASPRZAK Natalia</v>
      </c>
      <c r="M18" s="279"/>
      <c r="P18" s="72"/>
      <c r="Q18" s="72"/>
      <c r="R18" s="72"/>
      <c r="S18" s="72"/>
      <c r="T18" s="72"/>
      <c r="U18" s="72"/>
    </row>
    <row r="19" spans="1:22" ht="20.100000000000001" customHeight="1">
      <c r="A19" s="281" t="s">
        <v>46</v>
      </c>
      <c r="B19" s="67"/>
      <c r="C19" s="292" t="str">
        <f>VLOOKUP("5.",lista!B8:O23,3,FALSE)</f>
        <v>KASPRZAK Natalia</v>
      </c>
      <c r="D19" s="293"/>
      <c r="E19" s="68"/>
      <c r="F19" s="69"/>
      <c r="G19" s="70"/>
      <c r="H19" s="87"/>
      <c r="I19" s="16">
        <v>11</v>
      </c>
      <c r="J19" s="282"/>
      <c r="K19" s="80"/>
      <c r="L19" s="285" t="str">
        <f>IF(K20=1,I13,IF(K20=2,I25," "))</f>
        <v>PAWŁOWSKI Stanisław</v>
      </c>
      <c r="M19" s="285"/>
      <c r="P19" s="72"/>
      <c r="Q19" s="72"/>
      <c r="R19" s="72"/>
      <c r="S19" s="72"/>
      <c r="T19" s="72"/>
      <c r="U19" s="72"/>
    </row>
    <row r="20" spans="1:22" ht="20.100000000000001" customHeight="1">
      <c r="A20" s="281"/>
      <c r="B20" s="107"/>
      <c r="C20" s="279" t="str">
        <f>VLOOKUP("5.",lista!B8:O23,9,FALSE)</f>
        <v>PAWŁOWSKI Stanisław</v>
      </c>
      <c r="D20" s="286"/>
      <c r="E20" s="76"/>
      <c r="F20" s="279" t="str">
        <f>IF(E22=1,C19,IF(E22=2,C22," "))</f>
        <v>KASPRZAK Natalia</v>
      </c>
      <c r="G20" s="279"/>
      <c r="H20" s="87"/>
      <c r="I20" s="69"/>
      <c r="J20" s="102"/>
      <c r="K20" s="82">
        <v>2</v>
      </c>
      <c r="L20" s="317" t="s">
        <v>124</v>
      </c>
      <c r="M20" s="84"/>
      <c r="N20" s="198"/>
      <c r="P20" s="72"/>
      <c r="Q20" s="72"/>
      <c r="R20" s="72"/>
      <c r="S20" s="72"/>
      <c r="T20" s="72"/>
      <c r="U20" s="72"/>
    </row>
    <row r="21" spans="1:22" ht="20.100000000000001" customHeight="1">
      <c r="A21" s="77"/>
      <c r="C21" s="16">
        <v>3</v>
      </c>
      <c r="D21" s="108"/>
      <c r="E21" s="80"/>
      <c r="F21" s="285" t="str">
        <f>IF(E22=1,C20,IF(E22=2,C23," "))</f>
        <v>PAWŁOWSKI Stanisław</v>
      </c>
      <c r="G21" s="285"/>
      <c r="H21" s="97"/>
      <c r="I21" s="32"/>
      <c r="J21" s="98"/>
      <c r="K21" s="99"/>
      <c r="L21" s="32"/>
      <c r="M21" s="109"/>
      <c r="N21" s="198"/>
      <c r="P21" s="72"/>
      <c r="Q21" s="72"/>
      <c r="R21" s="72"/>
      <c r="S21" s="72"/>
      <c r="T21" s="72"/>
      <c r="U21" s="72"/>
    </row>
    <row r="22" spans="1:22" ht="20.100000000000001" customHeight="1">
      <c r="A22" s="281" t="s">
        <v>47</v>
      </c>
      <c r="B22" s="100"/>
      <c r="C22" s="279" t="str">
        <f>VLOOKUP("12.",lista!B8:O23,3,FALSE)</f>
        <v>BALCERZAK Aneta</v>
      </c>
      <c r="D22" s="286"/>
      <c r="E22" s="82">
        <v>1</v>
      </c>
      <c r="F22" s="312" t="s">
        <v>124</v>
      </c>
      <c r="G22" s="84"/>
      <c r="K22" s="110"/>
      <c r="L22" s="32"/>
      <c r="M22" s="109"/>
      <c r="N22" s="198"/>
      <c r="P22" s="122"/>
      <c r="Q22" s="123"/>
      <c r="R22" s="123"/>
      <c r="S22" s="123"/>
      <c r="T22" s="123"/>
      <c r="U22" s="123"/>
    </row>
    <row r="23" spans="1:22" ht="20.100000000000001" customHeight="1">
      <c r="A23" s="281"/>
      <c r="B23" s="101"/>
      <c r="C23" s="288" t="str">
        <f>VLOOKUP("12.",lista!B8:O23,9,FALSE)</f>
        <v>PIECHNIK Henryk</v>
      </c>
      <c r="D23" s="289"/>
      <c r="F23" s="85"/>
      <c r="G23" s="86"/>
      <c r="H23" s="87"/>
      <c r="I23" s="88"/>
      <c r="J23" s="70"/>
      <c r="K23" s="111"/>
      <c r="L23" s="85"/>
      <c r="M23" s="112"/>
      <c r="N23" s="198"/>
      <c r="P23" s="122"/>
      <c r="Q23" s="123"/>
      <c r="R23" s="123"/>
      <c r="S23" s="123"/>
      <c r="T23" s="123"/>
      <c r="U23" s="123"/>
    </row>
    <row r="24" spans="1:22" ht="20.100000000000001" customHeight="1">
      <c r="A24" s="77"/>
      <c r="B24" s="113"/>
      <c r="C24" s="114"/>
      <c r="D24" s="115"/>
      <c r="F24" s="16">
        <v>9</v>
      </c>
      <c r="G24" s="92"/>
      <c r="H24" s="76"/>
      <c r="I24" s="279" t="str">
        <f>IF(H26=1,F20,IF(H26=2,F26," "))</f>
        <v>KASPRZAK Natalia</v>
      </c>
      <c r="J24" s="279"/>
      <c r="K24" s="110"/>
      <c r="L24" s="32"/>
      <c r="M24" s="109"/>
      <c r="N24" s="198"/>
      <c r="P24" s="122"/>
      <c r="Q24" s="123"/>
      <c r="R24" s="123"/>
      <c r="S24" s="123"/>
      <c r="T24" s="123"/>
      <c r="U24" s="123"/>
    </row>
    <row r="25" spans="1:22" ht="20.100000000000001" customHeight="1">
      <c r="A25" s="281" t="s">
        <v>48</v>
      </c>
      <c r="B25" s="81"/>
      <c r="C25" s="292" t="str">
        <f>VLOOKUP("13.",lista!B8:O23,3,FALSE)</f>
        <v>PRYSTUPA Marta</v>
      </c>
      <c r="D25" s="293"/>
      <c r="E25" s="93"/>
      <c r="F25" s="85"/>
      <c r="G25" s="86"/>
      <c r="H25" s="80"/>
      <c r="I25" s="285" t="str">
        <f>IF(H26=1,F21,IF(H26=2,F27," "))</f>
        <v>PAWŁOWSKI Stanisław</v>
      </c>
      <c r="J25" s="285"/>
      <c r="K25" s="116"/>
      <c r="L25" s="69"/>
      <c r="M25" s="105"/>
      <c r="N25" s="198"/>
      <c r="P25" s="62" t="s">
        <v>41</v>
      </c>
      <c r="Q25" s="62" t="s">
        <v>69</v>
      </c>
      <c r="R25" s="62" t="s">
        <v>70</v>
      </c>
      <c r="S25" s="62" t="s">
        <v>71</v>
      </c>
      <c r="T25" s="62" t="s">
        <v>72</v>
      </c>
      <c r="U25" s="62" t="s">
        <v>42</v>
      </c>
    </row>
    <row r="26" spans="1:22" ht="20.100000000000001" customHeight="1">
      <c r="A26" s="281"/>
      <c r="B26" s="95"/>
      <c r="C26" s="279" t="str">
        <f>VLOOKUP("13.",lista!B8:O23,9,FALSE)</f>
        <v>NAWOJCZYK Rafał</v>
      </c>
      <c r="D26" s="286"/>
      <c r="E26" s="76"/>
      <c r="F26" s="313" t="str">
        <f>IF(E28=1,C25,IF(E28=2,C28," "))</f>
        <v>STOMA-SZARKOWICZ Magdalena</v>
      </c>
      <c r="G26" s="314"/>
      <c r="H26" s="82">
        <v>1</v>
      </c>
      <c r="I26" s="312" t="s">
        <v>124</v>
      </c>
      <c r="J26" s="117"/>
      <c r="K26" s="104"/>
      <c r="L26" s="69"/>
      <c r="M26" s="105"/>
      <c r="N26" s="198"/>
      <c r="P26" s="65">
        <v>120</v>
      </c>
      <c r="Q26" s="252" t="str">
        <f>F8</f>
        <v>LEWANDOWSKA Grażyna</v>
      </c>
      <c r="R26" s="252" t="str">
        <f>F9</f>
        <v>MIKOŁAJCZAK Piotr</v>
      </c>
      <c r="S26" s="252" t="str">
        <f>F14</f>
        <v>CZERWIŃSKA Krystyna</v>
      </c>
      <c r="T26" s="252" t="str">
        <f>F15</f>
        <v>OWSIANNY Jarosław</v>
      </c>
      <c r="U26" s="252" t="s">
        <v>29</v>
      </c>
    </row>
    <row r="27" spans="1:22" ht="20.100000000000001" customHeight="1">
      <c r="A27" s="77"/>
      <c r="C27" s="16">
        <v>4</v>
      </c>
      <c r="D27" s="108"/>
      <c r="E27" s="80"/>
      <c r="F27" s="285" t="str">
        <f>IF(E28=1,C26,IF(E28=2,C29," "))</f>
        <v>PAŁĘGA Józef</v>
      </c>
      <c r="G27" s="287"/>
      <c r="H27" s="97"/>
      <c r="I27" s="32"/>
      <c r="J27" s="118"/>
      <c r="K27" s="99"/>
      <c r="L27" s="16"/>
      <c r="M27" s="109"/>
      <c r="N27" s="198"/>
      <c r="P27" s="65">
        <v>121</v>
      </c>
      <c r="Q27" s="252" t="str">
        <f>F20</f>
        <v>KASPRZAK Natalia</v>
      </c>
      <c r="R27" s="252" t="str">
        <f>F21</f>
        <v>PAWŁOWSKI Stanisław</v>
      </c>
      <c r="S27" s="252" t="str">
        <f>F26</f>
        <v>STOMA-SZARKOWICZ Magdalena</v>
      </c>
      <c r="T27" s="252" t="str">
        <f>F27</f>
        <v>PAŁĘGA Józef</v>
      </c>
      <c r="U27" s="252" t="s">
        <v>29</v>
      </c>
    </row>
    <row r="28" spans="1:22" ht="20.100000000000001" customHeight="1">
      <c r="A28" s="281" t="s">
        <v>34</v>
      </c>
      <c r="B28" s="67"/>
      <c r="C28" s="315" t="str">
        <f>VLOOKUP("4.",lista!B8:O23,3,FALSE)</f>
        <v>STOMA-SZARKOWICZ Magdalena</v>
      </c>
      <c r="D28" s="316"/>
      <c r="E28" s="82">
        <v>2</v>
      </c>
      <c r="F28" s="312" t="s">
        <v>125</v>
      </c>
      <c r="G28" s="83"/>
      <c r="H28" s="97"/>
      <c r="I28" s="32"/>
      <c r="J28" s="118"/>
      <c r="K28" s="99"/>
      <c r="L28" s="32"/>
      <c r="M28" s="109"/>
      <c r="N28" s="198"/>
      <c r="P28" s="65">
        <v>122</v>
      </c>
      <c r="Q28" s="252" t="str">
        <f>F32</f>
        <v>GROLIK Agnieszka</v>
      </c>
      <c r="R28" s="252" t="str">
        <f>F33</f>
        <v>DOMAGAŁA Dariusz</v>
      </c>
      <c r="S28" s="252" t="str">
        <f>F38</f>
        <v>GAPSKA Krystyna</v>
      </c>
      <c r="T28" s="252" t="str">
        <f>F39</f>
        <v>NOWAKOWSKI Robert</v>
      </c>
      <c r="U28" s="252" t="s">
        <v>29</v>
      </c>
    </row>
    <row r="29" spans="1:22" ht="20.100000000000001" customHeight="1">
      <c r="A29" s="281"/>
      <c r="B29" s="107"/>
      <c r="C29" s="285" t="str">
        <f>VLOOKUP("4.",lista!B8:O23,9,FALSE)</f>
        <v>PAŁĘGA Józef</v>
      </c>
      <c r="D29" s="287"/>
      <c r="E29" s="87"/>
      <c r="F29" s="69"/>
      <c r="G29" s="70"/>
      <c r="H29" s="87"/>
      <c r="I29" s="69"/>
      <c r="J29" s="253"/>
      <c r="K29" s="193"/>
      <c r="L29" s="279" t="str">
        <f>IF(K31=1,L18,IF(K31=2,L42," "))</f>
        <v>KASPRZAK Natalia</v>
      </c>
      <c r="M29" s="286"/>
      <c r="N29" s="198"/>
      <c r="P29" s="65">
        <v>123</v>
      </c>
      <c r="Q29" s="252" t="str">
        <f>F44</f>
        <v>KRAJEWSKA Elżbieta</v>
      </c>
      <c r="R29" s="252" t="str">
        <f>F45</f>
        <v>BARTCZAK Henryk</v>
      </c>
      <c r="S29" s="252" t="str">
        <f>F50</f>
        <v>PRZEKAZIŃSKA Katarzyna</v>
      </c>
      <c r="T29" s="252" t="str">
        <f>F51</f>
        <v>PODSIADŁO Zbigniew</v>
      </c>
      <c r="U29" s="252" t="s">
        <v>29</v>
      </c>
    </row>
    <row r="30" spans="1:22" ht="20.100000000000001" customHeight="1">
      <c r="A30" s="77"/>
      <c r="B30" s="89"/>
      <c r="I30" s="120">
        <v>7</v>
      </c>
      <c r="J30" s="253"/>
      <c r="K30" s="194"/>
      <c r="L30" s="285" t="str">
        <f>IF(K31=1,L19,IF(K31=2,L43," "))</f>
        <v>PAWŁOWSKI Stanisław</v>
      </c>
      <c r="M30" s="287"/>
      <c r="N30" s="198"/>
      <c r="P30" s="122"/>
      <c r="Q30" s="123"/>
      <c r="R30" s="123"/>
      <c r="S30" s="123"/>
      <c r="T30" s="123"/>
      <c r="U30" s="123"/>
      <c r="V30" s="126"/>
    </row>
    <row r="31" spans="1:22" ht="20.100000000000001" customHeight="1">
      <c r="A31" s="281" t="s">
        <v>35</v>
      </c>
      <c r="B31" s="67"/>
      <c r="C31" s="292" t="str">
        <f>VLOOKUP("3.",lista!B8:O23,3,FALSE)</f>
        <v>GROLIK Agnieszka</v>
      </c>
      <c r="D31" s="293"/>
      <c r="E31" s="68"/>
      <c r="F31" s="69"/>
      <c r="G31" s="70"/>
      <c r="K31" s="199">
        <v>1</v>
      </c>
      <c r="L31" s="317" t="s">
        <v>124</v>
      </c>
      <c r="M31" s="84"/>
      <c r="N31" s="198"/>
      <c r="P31" s="122"/>
      <c r="Q31" s="123"/>
      <c r="R31" s="123"/>
      <c r="S31" s="123"/>
      <c r="T31" s="123"/>
      <c r="U31" s="123"/>
      <c r="V31" s="126"/>
    </row>
    <row r="32" spans="1:22" ht="20.100000000000001" customHeight="1">
      <c r="A32" s="281"/>
      <c r="B32" s="107"/>
      <c r="C32" s="279" t="str">
        <f>VLOOKUP("3.",lista!B8:O23,9,FALSE)</f>
        <v>DOMAGAŁA Dariusz</v>
      </c>
      <c r="D32" s="286"/>
      <c r="E32" s="76"/>
      <c r="F32" s="279" t="str">
        <f>IF(E34=1,C31,IF(E34=2,C34," "))</f>
        <v>GROLIK Agnieszka</v>
      </c>
      <c r="G32" s="279"/>
      <c r="L32" s="104"/>
      <c r="M32" s="189"/>
      <c r="N32" s="198"/>
      <c r="P32" s="122"/>
      <c r="Q32" s="123"/>
      <c r="R32" s="123"/>
      <c r="S32" s="123"/>
      <c r="T32" s="123"/>
      <c r="U32" s="123"/>
      <c r="V32" s="126"/>
    </row>
    <row r="33" spans="1:22" ht="20.100000000000001" customHeight="1">
      <c r="A33" s="77"/>
      <c r="C33" s="16">
        <v>5</v>
      </c>
      <c r="D33" s="108"/>
      <c r="E33" s="80"/>
      <c r="F33" s="285" t="str">
        <f>IF(E34=1,C32,IF(E34=2,C35," "))</f>
        <v>DOMAGAŁA Dariusz</v>
      </c>
      <c r="G33" s="285"/>
      <c r="L33" s="85"/>
      <c r="M33" s="112"/>
      <c r="N33" s="198"/>
      <c r="P33" s="62" t="s">
        <v>41</v>
      </c>
      <c r="Q33" s="62" t="s">
        <v>69</v>
      </c>
      <c r="R33" s="62" t="s">
        <v>70</v>
      </c>
      <c r="S33" s="62" t="s">
        <v>71</v>
      </c>
      <c r="T33" s="62" t="s">
        <v>72</v>
      </c>
      <c r="U33" s="62" t="s">
        <v>42</v>
      </c>
      <c r="V33" s="126"/>
    </row>
    <row r="34" spans="1:22" ht="20.100000000000001" customHeight="1">
      <c r="A34" s="281" t="s">
        <v>49</v>
      </c>
      <c r="B34" s="100"/>
      <c r="C34" s="279" t="str">
        <f>VLOOKUP("14.",lista!B8:O23,3,FALSE)</f>
        <v>WITASIK Jolanta</v>
      </c>
      <c r="D34" s="286"/>
      <c r="E34" s="82">
        <v>1</v>
      </c>
      <c r="F34" s="312" t="s">
        <v>126</v>
      </c>
      <c r="G34" s="84"/>
      <c r="L34" s="85"/>
      <c r="M34" s="112"/>
      <c r="N34" s="198"/>
      <c r="P34" s="65">
        <v>130</v>
      </c>
      <c r="Q34" s="252" t="str">
        <f>I12</f>
        <v>CZERWIŃSKA Krystyna</v>
      </c>
      <c r="R34" s="252" t="str">
        <f>I13</f>
        <v>OWSIANNY Jarosław</v>
      </c>
      <c r="S34" s="252" t="str">
        <f>I24</f>
        <v>KASPRZAK Natalia</v>
      </c>
      <c r="T34" s="252" t="str">
        <f>I25</f>
        <v>PAWŁOWSKI Stanisław</v>
      </c>
      <c r="U34" s="252" t="s">
        <v>29</v>
      </c>
      <c r="V34" s="126"/>
    </row>
    <row r="35" spans="1:22" ht="20.100000000000001" customHeight="1">
      <c r="A35" s="281"/>
      <c r="B35" s="101"/>
      <c r="C35" s="288" t="str">
        <f>VLOOKUP("14.",lista!B8:O23,9,FALSE)</f>
        <v>DROBNY Maciej</v>
      </c>
      <c r="D35" s="289"/>
      <c r="F35" s="85"/>
      <c r="G35" s="86"/>
      <c r="H35" s="87"/>
      <c r="I35" s="88"/>
      <c r="J35" s="70"/>
      <c r="L35" s="85"/>
      <c r="M35" s="112"/>
      <c r="N35" s="198"/>
      <c r="P35" s="65">
        <v>131</v>
      </c>
      <c r="Q35" s="252" t="str">
        <f>I36</f>
        <v>GAPSKA Krystyna</v>
      </c>
      <c r="R35" s="252" t="str">
        <f>I37</f>
        <v>NOWAKOWSKI Robert</v>
      </c>
      <c r="S35" s="252" t="str">
        <f>I48</f>
        <v>PRZEKAZIŃSKA Katarzyna</v>
      </c>
      <c r="T35" s="252" t="str">
        <f>I49</f>
        <v>PODSIADŁO Zbigniew</v>
      </c>
      <c r="U35" s="252" t="s">
        <v>29</v>
      </c>
      <c r="V35" s="126"/>
    </row>
    <row r="36" spans="1:22" ht="20.100000000000001" customHeight="1">
      <c r="A36" s="77"/>
      <c r="B36" s="89"/>
      <c r="C36" s="90"/>
      <c r="D36" s="91"/>
      <c r="E36" s="93"/>
      <c r="F36" s="16">
        <v>8</v>
      </c>
      <c r="G36" s="92"/>
      <c r="H36" s="76"/>
      <c r="I36" s="279" t="str">
        <f>IF(H38=1,F32,IF(H38=2,F38," "))</f>
        <v>GAPSKA Krystyna</v>
      </c>
      <c r="J36" s="279"/>
      <c r="L36" s="85"/>
      <c r="M36" s="112"/>
      <c r="N36" s="198"/>
      <c r="P36" s="122"/>
      <c r="Q36" s="123"/>
      <c r="R36" s="123"/>
      <c r="S36" s="123"/>
      <c r="T36" s="123"/>
      <c r="U36" s="123"/>
      <c r="V36" s="126"/>
    </row>
    <row r="37" spans="1:22" ht="20.100000000000001" customHeight="1">
      <c r="A37" s="281" t="s">
        <v>50</v>
      </c>
      <c r="B37" s="81"/>
      <c r="C37" s="292" t="str">
        <f>VLOOKUP("11.",lista!B8:O23,3,FALSE)</f>
        <v>WŁODAREK-SZCZEPANIAK Magdalena</v>
      </c>
      <c r="D37" s="293"/>
      <c r="E37" s="93"/>
      <c r="F37" s="85"/>
      <c r="G37" s="86"/>
      <c r="H37" s="80"/>
      <c r="I37" s="285" t="str">
        <f>IF(H38=1,F33,IF(H38=2,F39," "))</f>
        <v>NOWAKOWSKI Robert</v>
      </c>
      <c r="J37" s="285"/>
      <c r="L37" s="85"/>
      <c r="M37" s="112"/>
      <c r="N37" s="198"/>
      <c r="P37" s="122"/>
      <c r="Q37" s="123"/>
      <c r="R37" s="123"/>
      <c r="S37" s="123"/>
      <c r="T37" s="123"/>
      <c r="U37" s="123"/>
      <c r="V37" s="126"/>
    </row>
    <row r="38" spans="1:22" ht="20.100000000000001" customHeight="1">
      <c r="A38" s="281"/>
      <c r="B38" s="95"/>
      <c r="C38" s="279" t="str">
        <f>VLOOKUP("11.",lista!B8:O23,9,FALSE)</f>
        <v>BAZEWICZ Wiesław</v>
      </c>
      <c r="D38" s="286"/>
      <c r="E38" s="76"/>
      <c r="F38" s="279" t="str">
        <f>IF(E40=1,C37,IF(E40=2,C40," "))</f>
        <v>GAPSKA Krystyna</v>
      </c>
      <c r="G38" s="286"/>
      <c r="H38" s="82">
        <v>2</v>
      </c>
      <c r="I38" s="312" t="s">
        <v>124</v>
      </c>
      <c r="J38" s="84"/>
      <c r="L38" s="85"/>
      <c r="M38" s="112"/>
      <c r="N38" s="198"/>
      <c r="P38" s="186"/>
      <c r="Q38" s="186"/>
      <c r="R38" s="186"/>
      <c r="S38" s="186"/>
      <c r="T38" s="186"/>
      <c r="U38" s="186"/>
      <c r="V38" s="126"/>
    </row>
    <row r="39" spans="1:22" ht="20.100000000000001" customHeight="1">
      <c r="A39" s="77"/>
      <c r="C39" s="16">
        <v>6</v>
      </c>
      <c r="D39" s="108"/>
      <c r="E39" s="80"/>
      <c r="F39" s="285" t="str">
        <f>IF(E40=1,C38,IF(E40=2,C41," "))</f>
        <v>NOWAKOWSKI Robert</v>
      </c>
      <c r="G39" s="287"/>
      <c r="H39" s="97"/>
      <c r="I39" s="32"/>
      <c r="J39" s="98"/>
      <c r="K39" s="99"/>
      <c r="L39" s="32"/>
      <c r="M39" s="109"/>
      <c r="N39" s="198"/>
      <c r="P39" s="62" t="s">
        <v>41</v>
      </c>
      <c r="Q39" s="62" t="s">
        <v>69</v>
      </c>
      <c r="R39" s="62" t="s">
        <v>70</v>
      </c>
      <c r="S39" s="62" t="s">
        <v>71</v>
      </c>
      <c r="T39" s="62" t="s">
        <v>72</v>
      </c>
      <c r="U39" s="62" t="s">
        <v>42</v>
      </c>
    </row>
    <row r="40" spans="1:22" ht="20.100000000000001" customHeight="1">
      <c r="A40" s="281" t="s">
        <v>51</v>
      </c>
      <c r="B40" s="100"/>
      <c r="C40" s="279" t="str">
        <f>VLOOKUP("6.",lista!B8:O23,3,FALSE)</f>
        <v>GAPSKA Krystyna</v>
      </c>
      <c r="D40" s="286"/>
      <c r="E40" s="82">
        <v>2</v>
      </c>
      <c r="F40" s="312" t="s">
        <v>124</v>
      </c>
      <c r="G40" s="83"/>
      <c r="H40" s="97"/>
      <c r="I40" s="32"/>
      <c r="J40" s="98"/>
      <c r="K40" s="99"/>
      <c r="L40" s="32"/>
      <c r="M40" s="109"/>
      <c r="N40" s="198"/>
      <c r="P40" s="65">
        <v>140</v>
      </c>
      <c r="Q40" s="252" t="str">
        <f>L18</f>
        <v>KASPRZAK Natalia</v>
      </c>
      <c r="R40" s="252" t="str">
        <f>L19</f>
        <v>PAWŁOWSKI Stanisław</v>
      </c>
      <c r="S40" s="252" t="str">
        <f>L42</f>
        <v>GAPSKA Krystyna</v>
      </c>
      <c r="T40" s="252" t="str">
        <f>L43</f>
        <v>NOWAKOWSKI Robert</v>
      </c>
      <c r="U40" s="252" t="s">
        <v>29</v>
      </c>
    </row>
    <row r="41" spans="1:22" ht="20.100000000000001" customHeight="1">
      <c r="A41" s="281"/>
      <c r="B41" s="101"/>
      <c r="C41" s="288" t="str">
        <f>VLOOKUP("6.",lista!B8:O23,9,FALSE)</f>
        <v>NOWAKOWSKI Robert</v>
      </c>
      <c r="D41" s="289"/>
      <c r="E41" s="87"/>
      <c r="F41" s="69"/>
      <c r="G41" s="70"/>
      <c r="H41" s="87"/>
      <c r="I41" s="69"/>
      <c r="J41" s="102"/>
      <c r="K41" s="104"/>
      <c r="L41" s="188"/>
      <c r="M41" s="105"/>
      <c r="N41" s="198"/>
    </row>
    <row r="42" spans="1:22" ht="20.100000000000001" customHeight="1">
      <c r="A42" s="77"/>
      <c r="B42" s="89"/>
      <c r="E42" s="93"/>
      <c r="F42" s="85"/>
      <c r="G42" s="103"/>
      <c r="J42" s="282" t="s">
        <v>22</v>
      </c>
      <c r="K42" s="76"/>
      <c r="L42" s="279" t="str">
        <f>IF(K44=1,I36,IF(K44=2,I48," "))</f>
        <v>GAPSKA Krystyna</v>
      </c>
      <c r="M42" s="286"/>
      <c r="N42" s="198"/>
    </row>
    <row r="43" spans="1:22" ht="20.100000000000001" customHeight="1">
      <c r="A43" s="281" t="s">
        <v>52</v>
      </c>
      <c r="B43" s="81"/>
      <c r="C43" s="292" t="str">
        <f>VLOOKUP("7.",lista!B8:O23,3,FALSE)</f>
        <v>GRAŚ Anna</v>
      </c>
      <c r="D43" s="293"/>
      <c r="E43" s="68"/>
      <c r="F43" s="69"/>
      <c r="G43" s="70"/>
      <c r="H43" s="87"/>
      <c r="I43" s="16">
        <v>8</v>
      </c>
      <c r="J43" s="282"/>
      <c r="K43" s="80"/>
      <c r="L43" s="285" t="str">
        <f>IF(K44=1,I37,IF(K44=2,I49," "))</f>
        <v>NOWAKOWSKI Robert</v>
      </c>
      <c r="M43" s="287"/>
      <c r="N43" s="198"/>
    </row>
    <row r="44" spans="1:22" ht="20.100000000000001" customHeight="1">
      <c r="A44" s="281"/>
      <c r="B44" s="95"/>
      <c r="C44" s="279" t="str">
        <f>VLOOKUP("7.",lista!B8:O23,9,FALSE)</f>
        <v>LATAŃSKI Dariusz</v>
      </c>
      <c r="D44" s="286"/>
      <c r="E44" s="76"/>
      <c r="F44" s="279" t="str">
        <f>IF(E46=1,C43,IF(E46=2,C46," "))</f>
        <v>KRAJEWSKA Elżbieta</v>
      </c>
      <c r="G44" s="279"/>
      <c r="H44" s="87"/>
      <c r="I44" s="69"/>
      <c r="J44" s="102"/>
      <c r="K44" s="82">
        <v>1</v>
      </c>
      <c r="L44" s="312" t="s">
        <v>124</v>
      </c>
      <c r="M44" s="192"/>
      <c r="N44" s="85"/>
      <c r="P44" s="62" t="s">
        <v>41</v>
      </c>
      <c r="Q44" s="62" t="s">
        <v>69</v>
      </c>
      <c r="R44" s="62" t="s">
        <v>70</v>
      </c>
      <c r="S44" s="62" t="s">
        <v>71</v>
      </c>
      <c r="T44" s="62" t="s">
        <v>72</v>
      </c>
      <c r="U44" s="62" t="s">
        <v>42</v>
      </c>
    </row>
    <row r="45" spans="1:22" ht="20.100000000000001" customHeight="1">
      <c r="A45" s="77"/>
      <c r="C45" s="16">
        <v>7</v>
      </c>
      <c r="D45" s="108"/>
      <c r="E45" s="80"/>
      <c r="F45" s="285" t="str">
        <f>IF(E46=1,C44,IF(E46=2,C47," "))</f>
        <v>BARTCZAK Henryk</v>
      </c>
      <c r="G45" s="285"/>
      <c r="H45" s="97"/>
      <c r="I45" s="32"/>
      <c r="J45" s="98"/>
      <c r="K45" s="99"/>
      <c r="L45" s="32"/>
      <c r="M45" s="32"/>
      <c r="N45" s="85"/>
      <c r="P45" s="65">
        <v>150</v>
      </c>
      <c r="Q45" s="252" t="str">
        <f>I55</f>
        <v>CZERWIŃSKA Krystyna</v>
      </c>
      <c r="R45" s="252" t="str">
        <f>I56</f>
        <v>OWSIANNY Jarosław</v>
      </c>
      <c r="S45" s="252" t="str">
        <f>I58</f>
        <v>PRZEKAZIŃSKA Katarzyna</v>
      </c>
      <c r="T45" s="252" t="str">
        <f>I59</f>
        <v>PODSIADŁO Zbigniew</v>
      </c>
      <c r="U45" s="252" t="s">
        <v>29</v>
      </c>
    </row>
    <row r="46" spans="1:22" ht="20.100000000000001" customHeight="1">
      <c r="A46" s="281" t="s">
        <v>53</v>
      </c>
      <c r="B46" s="100"/>
      <c r="C46" s="279" t="str">
        <f>VLOOKUP("10.",lista!B8:O23,3,FALSE)</f>
        <v>KRAJEWSKA Elżbieta</v>
      </c>
      <c r="D46" s="286"/>
      <c r="E46" s="82">
        <v>2</v>
      </c>
      <c r="F46" s="312" t="s">
        <v>125</v>
      </c>
      <c r="G46" s="84"/>
      <c r="K46" s="110"/>
      <c r="L46" s="32"/>
      <c r="M46" s="32"/>
      <c r="N46" s="85"/>
    </row>
    <row r="47" spans="1:22" ht="20.100000000000001" customHeight="1">
      <c r="A47" s="281"/>
      <c r="B47" s="101"/>
      <c r="C47" s="288" t="str">
        <f>VLOOKUP("10.",lista!B8:O23,9,FALSE)</f>
        <v>BARTCZAK Henryk</v>
      </c>
      <c r="D47" s="289"/>
      <c r="F47" s="85"/>
      <c r="G47" s="86"/>
      <c r="H47" s="87"/>
      <c r="I47" s="88"/>
      <c r="J47" s="70"/>
      <c r="K47" s="111"/>
      <c r="L47" s="85"/>
      <c r="M47" s="94"/>
      <c r="N47" s="85"/>
    </row>
    <row r="48" spans="1:22" ht="20.100000000000001" customHeight="1">
      <c r="A48" s="77"/>
      <c r="B48" s="113"/>
      <c r="C48" s="114"/>
      <c r="D48" s="115"/>
      <c r="F48" s="16">
        <v>6</v>
      </c>
      <c r="G48" s="92"/>
      <c r="H48" s="76"/>
      <c r="I48" s="279" t="str">
        <f>IF(H50=1,F44,IF(H50=2,F50," "))</f>
        <v>PRZEKAZIŃSKA Katarzyna</v>
      </c>
      <c r="J48" s="279"/>
      <c r="K48" s="110"/>
      <c r="L48" s="32"/>
      <c r="M48" s="32"/>
      <c r="N48" s="85"/>
      <c r="P48" s="122"/>
      <c r="Q48" s="123"/>
      <c r="R48" s="123"/>
      <c r="S48" s="123"/>
      <c r="T48" s="123"/>
      <c r="U48" s="123"/>
    </row>
    <row r="49" spans="1:24" ht="20.100000000000001" customHeight="1">
      <c r="A49" s="281" t="s">
        <v>54</v>
      </c>
      <c r="B49" s="81"/>
      <c r="C49" s="292" t="str">
        <f>VLOOKUP("15.",lista!B8:O23,3,FALSE)</f>
        <v>MICHALSKA Elżbieta</v>
      </c>
      <c r="D49" s="293"/>
      <c r="E49" s="93"/>
      <c r="F49" s="85"/>
      <c r="G49" s="86"/>
      <c r="H49" s="80"/>
      <c r="I49" s="285" t="str">
        <f>IF(H50=1,F45,IF(H50=2,F51," "))</f>
        <v>PODSIADŁO Zbigniew</v>
      </c>
      <c r="J49" s="285"/>
      <c r="K49" s="116"/>
      <c r="L49" s="69"/>
      <c r="M49" s="106"/>
      <c r="N49" s="85"/>
      <c r="P49" s="122"/>
      <c r="Q49" s="123"/>
      <c r="R49" s="123"/>
      <c r="S49" s="123"/>
      <c r="T49" s="123"/>
      <c r="U49" s="123"/>
    </row>
    <row r="50" spans="1:24" ht="20.100000000000001" customHeight="1">
      <c r="A50" s="281"/>
      <c r="B50" s="95"/>
      <c r="C50" s="279" t="str">
        <f>VLOOKUP("15.",lista!B8:O23,9,FALSE)</f>
        <v>KOSTRZEWSKI Krzysztof</v>
      </c>
      <c r="D50" s="286"/>
      <c r="E50" s="76"/>
      <c r="F50" s="279" t="str">
        <f>IF(E52=1,C49,IF(E52=2,C52," "))</f>
        <v>PRZEKAZIŃSKA Katarzyna</v>
      </c>
      <c r="G50" s="286"/>
      <c r="H50" s="82">
        <v>2</v>
      </c>
      <c r="I50" s="312" t="s">
        <v>124</v>
      </c>
      <c r="J50" s="117"/>
      <c r="K50" s="104"/>
      <c r="L50" s="69"/>
      <c r="M50" s="106"/>
      <c r="N50" s="85"/>
      <c r="P50" s="122"/>
      <c r="Q50" s="123"/>
      <c r="R50" s="123"/>
      <c r="S50" s="123"/>
      <c r="T50" s="123"/>
      <c r="U50" s="123"/>
    </row>
    <row r="51" spans="1:24" ht="20.100000000000001" customHeight="1">
      <c r="A51" s="77"/>
      <c r="B51" s="124"/>
      <c r="C51" s="16">
        <v>8</v>
      </c>
      <c r="D51" s="108"/>
      <c r="E51" s="80"/>
      <c r="F51" s="285" t="str">
        <f>IF(E52=1,C50,IF(E52=2,C53," "))</f>
        <v>PODSIADŁO Zbigniew</v>
      </c>
      <c r="G51" s="287"/>
      <c r="H51" s="97"/>
      <c r="I51" s="32"/>
      <c r="J51" s="118"/>
      <c r="K51" s="99"/>
      <c r="L51" s="32"/>
      <c r="M51" s="32"/>
      <c r="O51" s="120"/>
      <c r="P51" s="122"/>
      <c r="Q51" s="123"/>
      <c r="R51" s="123"/>
      <c r="S51" s="123"/>
      <c r="T51" s="123"/>
      <c r="U51" s="123"/>
      <c r="V51" s="120"/>
    </row>
    <row r="52" spans="1:24" ht="20.100000000000001" customHeight="1">
      <c r="A52" s="281" t="s">
        <v>36</v>
      </c>
      <c r="B52" s="125"/>
      <c r="C52" s="279" t="str">
        <f>VLOOKUP("2.",lista!B8:O23,3,FALSE)</f>
        <v>PRZEKAZIŃSKA Katarzyna</v>
      </c>
      <c r="D52" s="286"/>
      <c r="E52" s="82">
        <v>2</v>
      </c>
      <c r="F52" s="312" t="s">
        <v>124</v>
      </c>
      <c r="G52" s="83"/>
      <c r="H52" s="97"/>
      <c r="I52" s="32"/>
      <c r="J52" s="118"/>
      <c r="K52" s="99"/>
      <c r="L52" s="32"/>
      <c r="M52" s="32"/>
      <c r="O52" s="120"/>
      <c r="P52" s="122"/>
      <c r="Q52" s="123"/>
      <c r="R52" s="123"/>
      <c r="S52" s="123"/>
      <c r="T52" s="123"/>
      <c r="U52" s="123"/>
      <c r="V52" s="126"/>
      <c r="W52" s="126"/>
      <c r="X52" s="126"/>
    </row>
    <row r="53" spans="1:24" ht="20.100000000000001" customHeight="1">
      <c r="A53" s="281"/>
      <c r="B53" s="101"/>
      <c r="C53" s="288" t="str">
        <f>VLOOKUP("2.",lista!B8:O23,9,FALSE)</f>
        <v>PODSIADŁO Zbigniew</v>
      </c>
      <c r="D53" s="289"/>
      <c r="E53" s="87"/>
      <c r="F53" s="69"/>
      <c r="G53" s="70"/>
      <c r="H53" s="295" t="s">
        <v>78</v>
      </c>
      <c r="I53" s="295"/>
      <c r="J53" s="295"/>
      <c r="K53" s="295" t="s">
        <v>77</v>
      </c>
      <c r="L53" s="295"/>
      <c r="M53" s="295"/>
      <c r="O53" s="120"/>
      <c r="P53" s="185"/>
      <c r="Q53" s="185"/>
      <c r="R53" s="185"/>
      <c r="S53" s="185"/>
      <c r="T53" s="185"/>
      <c r="U53" s="185"/>
      <c r="V53" s="126"/>
      <c r="W53" s="126"/>
      <c r="X53" s="126"/>
    </row>
    <row r="54" spans="1:24" ht="20.100000000000001" customHeight="1">
      <c r="A54" s="190"/>
      <c r="B54" s="191"/>
      <c r="C54" s="128"/>
      <c r="D54" s="128"/>
      <c r="E54" s="87"/>
      <c r="F54" s="69"/>
      <c r="G54" s="70"/>
      <c r="H54" s="87"/>
      <c r="I54" s="69"/>
      <c r="J54" s="70"/>
      <c r="K54" s="104"/>
      <c r="L54" s="69"/>
      <c r="M54" s="106"/>
      <c r="O54" s="120"/>
      <c r="P54" s="185"/>
      <c r="Q54" s="185"/>
      <c r="R54" s="185"/>
      <c r="S54" s="185"/>
      <c r="T54" s="185"/>
      <c r="U54" s="185"/>
      <c r="V54" s="126"/>
      <c r="W54" s="126"/>
      <c r="X54" s="126"/>
    </row>
    <row r="55" spans="1:24" ht="20.100000000000001" customHeight="1">
      <c r="A55" s="190"/>
      <c r="B55" s="191"/>
      <c r="C55" s="128"/>
      <c r="D55" s="128"/>
      <c r="E55" s="87"/>
      <c r="F55" s="69"/>
      <c r="G55" s="294" t="s">
        <v>21</v>
      </c>
      <c r="H55" s="262"/>
      <c r="I55" s="296" t="str">
        <f>IF(K20=2,I12,IF(K20=1,I24," "))</f>
        <v>CZERWIŃSKA Krystyna</v>
      </c>
      <c r="J55" s="296"/>
      <c r="K55" s="264"/>
      <c r="L55" s="126"/>
      <c r="M55" s="70"/>
      <c r="N55" s="85"/>
      <c r="O55" s="120"/>
      <c r="P55" s="185"/>
      <c r="Q55" s="185"/>
      <c r="R55" s="185"/>
      <c r="S55" s="185"/>
      <c r="T55" s="185"/>
      <c r="U55" s="185"/>
      <c r="V55" s="126"/>
      <c r="W55" s="126"/>
      <c r="X55" s="126"/>
    </row>
    <row r="56" spans="1:24" s="126" customFormat="1" ht="20.100000000000001" customHeight="1">
      <c r="A56" s="77"/>
      <c r="B56" s="187"/>
      <c r="D56" s="96"/>
      <c r="E56" s="97"/>
      <c r="F56" s="32"/>
      <c r="G56" s="294"/>
      <c r="H56" s="261"/>
      <c r="I56" s="279" t="str">
        <f>IF(K20=2,I13,IF(K20=1,I25," "))</f>
        <v>OWSIANNY Jarosław</v>
      </c>
      <c r="J56" s="279"/>
      <c r="K56" s="265"/>
      <c r="L56" s="279" t="str">
        <f>IF(K58=2,I58,IF(K58=1,I55," "))</f>
        <v>CZERWIŃSKA Krystyna</v>
      </c>
      <c r="M56" s="279"/>
      <c r="P56" s="122"/>
      <c r="Q56" s="123"/>
      <c r="R56" s="123"/>
      <c r="S56" s="123"/>
      <c r="T56" s="123"/>
      <c r="U56" s="123"/>
    </row>
    <row r="57" spans="1:24" s="126" customFormat="1" ht="20.100000000000001" customHeight="1">
      <c r="A57" s="77"/>
      <c r="B57" s="187"/>
      <c r="D57" s="96"/>
      <c r="E57" s="97"/>
      <c r="F57" s="128"/>
      <c r="G57" s="77"/>
      <c r="H57" s="187"/>
      <c r="I57" s="258">
        <v>3</v>
      </c>
      <c r="J57" s="259"/>
      <c r="K57" s="266"/>
      <c r="L57" s="279" t="str">
        <f>IF(K58=2,I59,IF(K58=1,I56," "))</f>
        <v>OWSIANNY Jarosław</v>
      </c>
      <c r="M57" s="279"/>
      <c r="P57" s="122"/>
      <c r="Q57" s="123"/>
      <c r="R57" s="123"/>
      <c r="S57" s="123"/>
      <c r="T57" s="123"/>
      <c r="U57" s="123"/>
    </row>
    <row r="58" spans="1:24" s="126" customFormat="1" ht="20.100000000000001" customHeight="1">
      <c r="A58" s="77"/>
      <c r="B58" s="187"/>
      <c r="D58" s="96"/>
      <c r="E58" s="97"/>
      <c r="F58" s="128"/>
      <c r="G58" s="294" t="s">
        <v>22</v>
      </c>
      <c r="H58" s="125"/>
      <c r="I58" s="279" t="str">
        <f>IF(K44=2,I36,IF(K44=1,I48," "))</f>
        <v>PRZEKAZIŃSKA Katarzyna</v>
      </c>
      <c r="J58" s="279"/>
      <c r="K58" s="268">
        <v>1</v>
      </c>
      <c r="L58" s="318" t="s">
        <v>124</v>
      </c>
      <c r="M58" s="267"/>
      <c r="P58" s="122"/>
      <c r="Q58" s="123"/>
      <c r="R58" s="123"/>
      <c r="S58" s="123"/>
      <c r="T58" s="123"/>
      <c r="U58" s="123"/>
    </row>
    <row r="59" spans="1:24" s="126" customFormat="1" ht="20.100000000000001" customHeight="1">
      <c r="A59" s="77"/>
      <c r="B59" s="187"/>
      <c r="D59" s="96"/>
      <c r="E59" s="97"/>
      <c r="F59" s="128"/>
      <c r="G59" s="294"/>
      <c r="H59" s="263"/>
      <c r="I59" s="285" t="str">
        <f>IF(K44=2,I37,IF(K44=1,I49," "))</f>
        <v>PODSIADŁO Zbigniew</v>
      </c>
      <c r="J59" s="285"/>
      <c r="K59" s="264"/>
      <c r="L59" s="69"/>
      <c r="M59" s="70"/>
      <c r="P59" s="122"/>
      <c r="Q59" s="123"/>
      <c r="R59" s="123"/>
      <c r="S59" s="123"/>
      <c r="T59" s="123"/>
      <c r="U59" s="123"/>
    </row>
    <row r="60" spans="1:24" s="126" customFormat="1" ht="20.100000000000001" customHeight="1">
      <c r="A60" s="77"/>
      <c r="B60" s="187"/>
      <c r="D60" s="96"/>
      <c r="E60" s="97"/>
      <c r="F60" s="128"/>
      <c r="G60" s="260"/>
      <c r="H60" s="257"/>
      <c r="I60" s="256"/>
      <c r="J60" s="256"/>
      <c r="K60" s="187"/>
      <c r="L60" s="69"/>
      <c r="M60" s="70"/>
      <c r="P60" s="122"/>
      <c r="Q60" s="123"/>
      <c r="R60" s="123"/>
      <c r="S60" s="123"/>
      <c r="T60" s="123"/>
      <c r="U60" s="123"/>
    </row>
    <row r="61" spans="1:24" s="126" customFormat="1" ht="20.100000000000001" customHeight="1">
      <c r="A61" s="248"/>
      <c r="B61" s="187"/>
      <c r="D61" s="96"/>
      <c r="E61" s="97"/>
      <c r="F61" s="128"/>
      <c r="G61" s="260"/>
      <c r="H61" s="257"/>
      <c r="I61" s="128"/>
      <c r="J61" s="128"/>
      <c r="K61" s="187"/>
      <c r="L61" s="69"/>
      <c r="M61" s="70"/>
      <c r="P61" s="122"/>
      <c r="Q61" s="123"/>
      <c r="R61" s="123"/>
      <c r="S61" s="123"/>
      <c r="T61" s="123"/>
      <c r="U61" s="123"/>
    </row>
    <row r="62" spans="1:24" s="126" customFormat="1" ht="20.100000000000001" customHeight="1">
      <c r="A62" s="251" t="str">
        <f>IF(info!C$7="","", CONCATENATE(info!B$7," ",info!C$7))</f>
        <v>Obsługa komputerowa: Bartosz MAJCHER</v>
      </c>
      <c r="B62" s="57"/>
      <c r="C62" s="57"/>
      <c r="D62" s="58"/>
      <c r="E62" s="59"/>
      <c r="F62" s="57"/>
      <c r="G62" s="60"/>
      <c r="H62" s="59"/>
      <c r="I62" s="57"/>
      <c r="J62" s="60"/>
      <c r="K62" s="59"/>
      <c r="L62" s="57"/>
      <c r="M62" s="250" t="str">
        <f>IF(info!C$6="","", CONCATENATE(info!B$6," ",info!C$6))</f>
        <v>Sędzia Główny: Bartosz MAJCHER</v>
      </c>
      <c r="P62" s="65">
        <v>999</v>
      </c>
      <c r="Q62" s="66" t="s">
        <v>29</v>
      </c>
      <c r="R62" s="66" t="s">
        <v>29</v>
      </c>
      <c r="S62" s="66" t="s">
        <v>29</v>
      </c>
      <c r="T62" s="66" t="s">
        <v>29</v>
      </c>
      <c r="U62" s="66" t="s">
        <v>29</v>
      </c>
    </row>
  </sheetData>
  <sheetProtection formatCells="0" formatColumns="0" formatRows="0"/>
  <mergeCells count="96">
    <mergeCell ref="L30:M30"/>
    <mergeCell ref="G55:G56"/>
    <mergeCell ref="I55:J55"/>
    <mergeCell ref="L56:M56"/>
    <mergeCell ref="F50:G50"/>
    <mergeCell ref="F51:G51"/>
    <mergeCell ref="F45:G45"/>
    <mergeCell ref="F39:G39"/>
    <mergeCell ref="J42:J43"/>
    <mergeCell ref="L57:M57"/>
    <mergeCell ref="G58:G59"/>
    <mergeCell ref="I59:J59"/>
    <mergeCell ref="I58:J58"/>
    <mergeCell ref="A52:A53"/>
    <mergeCell ref="C53:D53"/>
    <mergeCell ref="H53:J53"/>
    <mergeCell ref="C52:D52"/>
    <mergeCell ref="K53:M53"/>
    <mergeCell ref="I56:J56"/>
    <mergeCell ref="A46:A47"/>
    <mergeCell ref="I48:J48"/>
    <mergeCell ref="A49:A50"/>
    <mergeCell ref="I49:J49"/>
    <mergeCell ref="C46:D46"/>
    <mergeCell ref="C49:D49"/>
    <mergeCell ref="C47:D47"/>
    <mergeCell ref="C50:D50"/>
    <mergeCell ref="A40:A41"/>
    <mergeCell ref="C23:D23"/>
    <mergeCell ref="L42:M42"/>
    <mergeCell ref="A43:A44"/>
    <mergeCell ref="C25:D25"/>
    <mergeCell ref="F44:G44"/>
    <mergeCell ref="L43:M43"/>
    <mergeCell ref="C40:D40"/>
    <mergeCell ref="C44:D44"/>
    <mergeCell ref="C31:D31"/>
    <mergeCell ref="C35:D35"/>
    <mergeCell ref="C37:D37"/>
    <mergeCell ref="C41:D41"/>
    <mergeCell ref="C43:D43"/>
    <mergeCell ref="L29:M29"/>
    <mergeCell ref="F33:G33"/>
    <mergeCell ref="A34:A35"/>
    <mergeCell ref="I36:J36"/>
    <mergeCell ref="A37:A38"/>
    <mergeCell ref="I37:J37"/>
    <mergeCell ref="F38:G38"/>
    <mergeCell ref="C34:D34"/>
    <mergeCell ref="C38:D38"/>
    <mergeCell ref="F27:G27"/>
    <mergeCell ref="A16:A17"/>
    <mergeCell ref="C17:D17"/>
    <mergeCell ref="A31:A32"/>
    <mergeCell ref="C19:D19"/>
    <mergeCell ref="F32:G32"/>
    <mergeCell ref="A28:A29"/>
    <mergeCell ref="C28:D28"/>
    <mergeCell ref="C29:D29"/>
    <mergeCell ref="C32:D32"/>
    <mergeCell ref="F21:G21"/>
    <mergeCell ref="A22:A23"/>
    <mergeCell ref="I24:J24"/>
    <mergeCell ref="A25:A26"/>
    <mergeCell ref="I25:J25"/>
    <mergeCell ref="F26:G26"/>
    <mergeCell ref="C22:D22"/>
    <mergeCell ref="C26:D26"/>
    <mergeCell ref="A3:M3"/>
    <mergeCell ref="B5:D5"/>
    <mergeCell ref="E5:G5"/>
    <mergeCell ref="H5:J5"/>
    <mergeCell ref="A1:M1"/>
    <mergeCell ref="F15:G15"/>
    <mergeCell ref="C14:D14"/>
    <mergeCell ref="C11:D11"/>
    <mergeCell ref="C7:D7"/>
    <mergeCell ref="C8:D8"/>
    <mergeCell ref="F8:G8"/>
    <mergeCell ref="F9:G9"/>
    <mergeCell ref="L18:M18"/>
    <mergeCell ref="K5:M5"/>
    <mergeCell ref="A7:A8"/>
    <mergeCell ref="A10:A11"/>
    <mergeCell ref="I12:J12"/>
    <mergeCell ref="J18:J19"/>
    <mergeCell ref="A19:A20"/>
    <mergeCell ref="C13:D13"/>
    <mergeCell ref="F20:G20"/>
    <mergeCell ref="L19:M19"/>
    <mergeCell ref="C10:D10"/>
    <mergeCell ref="C20:D20"/>
    <mergeCell ref="C16:D16"/>
    <mergeCell ref="A13:A14"/>
    <mergeCell ref="I13:J13"/>
    <mergeCell ref="F14:G14"/>
  </mergeCells>
  <printOptions horizontalCentered="1"/>
  <pageMargins left="0.39370078740157483" right="0.39370078740157483" top="0.23622047244094491" bottom="0.19685039370078741" header="0" footer="0"/>
  <pageSetup paperSize="9" scale="68" orientation="portrait" errors="blank" r:id="rId1"/>
  <headerFooter alignWithMargins="0"/>
  <ignoredErrors>
    <ignoredError sqref="A7 A47:A48 A44:A45 A41:A42 A38:A39 A35:A36 A32:A33 A26:A27 A23:A24 A20:A21 A16 A13 A30 A50:A52 A53 A18 A10:A12 A19 A54:A57 A31 A14:A15 A17 A22 A25 A28:A29 A34 A37 A40 A43 A46 A49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I87"/>
  <sheetViews>
    <sheetView tabSelected="1" zoomScale="70" zoomScaleNormal="70" workbookViewId="0">
      <selection activeCell="O20" sqref="O20"/>
    </sheetView>
  </sheetViews>
  <sheetFormatPr defaultColWidth="9.109375" defaultRowHeight="13.8"/>
  <cols>
    <col min="1" max="1" width="7.44140625" style="21" customWidth="1"/>
    <col min="2" max="2" width="7.44140625" style="22" customWidth="1"/>
    <col min="3" max="3" width="7.88671875" style="23" customWidth="1"/>
    <col min="4" max="4" width="35.88671875" style="24" customWidth="1"/>
    <col min="5" max="5" width="41.6640625" style="24" customWidth="1"/>
    <col min="6" max="6" width="7.88671875" style="23" customWidth="1"/>
    <col min="7" max="7" width="35.88671875" style="24" customWidth="1"/>
    <col min="8" max="8" width="40.88671875" style="24" customWidth="1"/>
    <col min="9" max="9" width="7.44140625" style="21" customWidth="1"/>
    <col min="10" max="16384" width="9.109375" style="21"/>
  </cols>
  <sheetData>
    <row r="1" spans="1:9" ht="43.5" customHeight="1">
      <c r="A1" s="297" t="str">
        <f>IF(info!C3="","",CONCATENATE(info!C3,", ",info!C4," ",info!C5))</f>
        <v>63. Mistrzostwa Polski Kolejarzy, Suchedniów 22-24.04.2022</v>
      </c>
      <c r="B1" s="297"/>
      <c r="C1" s="297"/>
      <c r="D1" s="297"/>
      <c r="E1" s="297"/>
      <c r="F1" s="297"/>
      <c r="G1" s="297"/>
      <c r="H1" s="297"/>
      <c r="I1" s="297"/>
    </row>
    <row r="2" spans="1:9" ht="20.100000000000001" customHeight="1"/>
    <row r="3" spans="1:9" ht="28.5" customHeight="1">
      <c r="A3" s="275" t="str">
        <f>CONCATENATE(IF(info!C8="","",info!C8)," - klasyfikacja końcowa")</f>
        <v>gra mieszana - klasyfikacja końcowa</v>
      </c>
      <c r="B3" s="275"/>
      <c r="C3" s="275"/>
      <c r="D3" s="275"/>
      <c r="E3" s="275"/>
      <c r="F3" s="275"/>
      <c r="G3" s="275"/>
      <c r="H3" s="275"/>
      <c r="I3" s="275"/>
    </row>
    <row r="4" spans="1:9" s="26" customFormat="1" ht="20.100000000000001" customHeight="1">
      <c r="A4" s="276"/>
      <c r="B4" s="277"/>
      <c r="C4" s="277"/>
      <c r="D4" s="277"/>
      <c r="E4" s="277"/>
      <c r="F4" s="277"/>
      <c r="G4" s="277"/>
      <c r="H4" s="277"/>
      <c r="I4" s="277"/>
    </row>
    <row r="5" spans="1:9" ht="20.100000000000001" customHeight="1"/>
    <row r="6" spans="1:9" ht="20.100000000000001" customHeight="1">
      <c r="A6" s="27"/>
      <c r="B6" s="28" t="s">
        <v>38</v>
      </c>
      <c r="C6" s="29" t="s">
        <v>73</v>
      </c>
      <c r="D6" s="28" t="s">
        <v>2</v>
      </c>
      <c r="E6" s="28" t="s">
        <v>17</v>
      </c>
      <c r="F6" s="29" t="s">
        <v>73</v>
      </c>
      <c r="G6" s="28" t="s">
        <v>2</v>
      </c>
      <c r="H6" s="28" t="s">
        <v>17</v>
      </c>
      <c r="I6" s="27"/>
    </row>
    <row r="7" spans="1:9" ht="20.100000000000001" customHeight="1"/>
    <row r="8" spans="1:9" ht="19.5" customHeight="1">
      <c r="B8" s="30" t="s">
        <v>1</v>
      </c>
      <c r="C8" s="243" t="str">
        <f>VLOOKUP(D8,lista!$D$8:$S$23,15,FALSE)</f>
        <v>-</v>
      </c>
      <c r="D8" s="244" t="str">
        <f>turniej!L29</f>
        <v>KASPRZAK Natalia</v>
      </c>
      <c r="E8" s="245" t="str">
        <f>VLOOKUP(D8,lista!D$8:S$23,4,FALSE)</f>
        <v>IZ Zielona Góra</v>
      </c>
      <c r="F8" s="243" t="str">
        <f>VLOOKUP(G8,lista!$J$8:$S$23,10,FALSE)</f>
        <v>-</v>
      </c>
      <c r="G8" s="246" t="str">
        <f>turniej!L30</f>
        <v>PAWŁOWSKI Stanisław</v>
      </c>
      <c r="H8" s="245" t="str">
        <f>VLOOKUP(G8,lista!J$8:S$23,4,FALSE)</f>
        <v>IZ Zielona Góra</v>
      </c>
    </row>
    <row r="9" spans="1:9" ht="19.5" customHeight="1">
      <c r="B9" s="30" t="s">
        <v>0</v>
      </c>
      <c r="C9" s="243" t="str">
        <f>VLOOKUP(D9,lista!$D$8:$S$23,15,FALSE)</f>
        <v>-</v>
      </c>
      <c r="D9" s="254" t="str">
        <f>IF(turniej!K31=2,turniej!L18,IF(turniej!K31=1,turniej!L42," "))</f>
        <v>GAPSKA Krystyna</v>
      </c>
      <c r="E9" s="245" t="str">
        <f>VLOOKUP(D9,lista!D$8:S$23,4,FALSE)</f>
        <v>IZ Zielona Góra</v>
      </c>
      <c r="F9" s="243" t="str">
        <f>VLOOKUP(G9,lista!$J$8:$S$23,10,FALSE)</f>
        <v>-</v>
      </c>
      <c r="G9" s="254" t="str">
        <f>IF(turniej!K31=2,turniej!L19,IF(turniej!K31=1,turniej!L43," "))</f>
        <v>NOWAKOWSKI Robert</v>
      </c>
      <c r="H9" s="245" t="str">
        <f>VLOOKUP(G9,lista!J$8:S$23,4,FALSE)</f>
        <v>IZ Zielona Góra</v>
      </c>
    </row>
    <row r="10" spans="1:9" ht="19.5" customHeight="1">
      <c r="B10" s="30" t="s">
        <v>3</v>
      </c>
      <c r="C10" s="243" t="str">
        <f>VLOOKUP(D10,lista!$D$8:$S$23,15,FALSE)</f>
        <v>-</v>
      </c>
      <c r="D10" s="244" t="str">
        <f>turniej!L56</f>
        <v>CZERWIŃSKA Krystyna</v>
      </c>
      <c r="E10" s="245" t="str">
        <f>VLOOKUP(D10,lista!D$8:S$23,4,FALSE)</f>
        <v>IZ Ostrów</v>
      </c>
      <c r="F10" s="243" t="str">
        <f>VLOOKUP(G10,lista!$J$8:$S$23,10,FALSE)</f>
        <v>-</v>
      </c>
      <c r="G10" s="244" t="str">
        <f>turniej!L57</f>
        <v>OWSIANNY Jarosław</v>
      </c>
      <c r="H10" s="245" t="str">
        <f>VLOOKUP(G10,lista!J$8:S$23,4,FALSE)</f>
        <v>IZ Ostrów</v>
      </c>
    </row>
    <row r="11" spans="1:9" ht="19.5" customHeight="1">
      <c r="B11" s="30" t="s">
        <v>4</v>
      </c>
      <c r="C11" s="243" t="str">
        <f>VLOOKUP(D11,lista!$D$8:$S$23,15,FALSE)</f>
        <v>-</v>
      </c>
      <c r="D11" s="254" t="str">
        <f>IF(turniej!K58=2,turniej!I55,IF(turniej!K58=1,turniej!I58," "))</f>
        <v>PRZEKAZIŃSKA Katarzyna</v>
      </c>
      <c r="E11" s="245" t="str">
        <f>VLOOKUP(D11,lista!D$8:S$23,4,FALSE)</f>
        <v>IC Południowy</v>
      </c>
      <c r="F11" s="243" t="str">
        <f>VLOOKUP(G11,lista!$J$8:$S$23,10,FALSE)</f>
        <v>-</v>
      </c>
      <c r="G11" s="254" t="str">
        <f>IF(turniej!K58=2,turniej!I56,IF(turniej!K58=1,turniej!I59," "))</f>
        <v>PODSIADŁO Zbigniew</v>
      </c>
      <c r="H11" s="245" t="str">
        <f>VLOOKUP(G11,lista!J$8:S$23,4,FALSE)</f>
        <v>IC Południowy</v>
      </c>
    </row>
    <row r="12" spans="1:9" ht="19.5" customHeight="1">
      <c r="B12" s="30" t="s">
        <v>30</v>
      </c>
      <c r="C12" s="243" t="str">
        <f>VLOOKUP(D12,lista!$D$8:$S$23,15,FALSE)</f>
        <v>-</v>
      </c>
      <c r="D12" s="254" t="str">
        <f>IF(turniej!H14=2,turniej!F8,IF(turniej!H14=1,turniej!F14," "))</f>
        <v>LEWANDOWSKA Grażyna</v>
      </c>
      <c r="E12" s="245" t="str">
        <f>VLOOKUP(D12,lista!D$8:S$23,4,FALSE)</f>
        <v>PR Poznań</v>
      </c>
      <c r="F12" s="243" t="str">
        <f>VLOOKUP(G12,lista!$J$8:$S$23,10,FALSE)</f>
        <v>-</v>
      </c>
      <c r="G12" s="254" t="str">
        <f>IF(turniej!H14=2,turniej!F9,IF(turniej!H14=1,turniej!F15," "))</f>
        <v>MIKOŁAJCZAK Piotr</v>
      </c>
      <c r="H12" s="245" t="str">
        <f>VLOOKUP(G12,lista!J$8:S$23,4,FALSE)</f>
        <v>PR Poznań</v>
      </c>
    </row>
    <row r="13" spans="1:9" ht="19.5" customHeight="1">
      <c r="B13" s="30"/>
      <c r="C13" s="243" t="str">
        <f>VLOOKUP(D13,lista!$D$8:$S$23,15,FALSE)</f>
        <v>-</v>
      </c>
      <c r="D13" s="254" t="str">
        <f>IF(turniej!H26=2,turniej!F20,IF(turniej!H26=1,turniej!F26," "))</f>
        <v>STOMA-SZARKOWICZ Magdalena</v>
      </c>
      <c r="E13" s="245" t="str">
        <f>VLOOKUP(D13,lista!D$8:S$23,4,FALSE)</f>
        <v>IC Południowy</v>
      </c>
      <c r="F13" s="243" t="str">
        <f>VLOOKUP(G13,lista!$J$8:$S$23,10,FALSE)</f>
        <v>-</v>
      </c>
      <c r="G13" s="254" t="str">
        <f>IF(turniej!H26=2,turniej!F21,IF(turniej!H26=1,turniej!F27," "))</f>
        <v>PAŁĘGA Józef</v>
      </c>
      <c r="H13" s="245" t="str">
        <f>VLOOKUP(G13,lista!J$8:S$23,4,FALSE)</f>
        <v>IC Południowy</v>
      </c>
    </row>
    <row r="14" spans="1:9" ht="19.5" customHeight="1">
      <c r="B14" s="30"/>
      <c r="C14" s="243" t="str">
        <f>VLOOKUP(D14,lista!$D$8:$S$23,15,FALSE)</f>
        <v>-</v>
      </c>
      <c r="D14" s="254" t="str">
        <f>IF(turniej!H38=2,turniej!F32,IF(turniej!H38=1,turniej!F38," "))</f>
        <v>GROLIK Agnieszka</v>
      </c>
      <c r="E14" s="245" t="str">
        <f>VLOOKUP(D14,lista!D$8:S$23,4,FALSE)</f>
        <v>IC Południowy</v>
      </c>
      <c r="F14" s="243" t="str">
        <f>VLOOKUP(G14,lista!$J$8:$S$23,10,FALSE)</f>
        <v>-</v>
      </c>
      <c r="G14" s="254" t="str">
        <f>IF(turniej!H38=2,turniej!F33,IF(turniej!H38=1,turniej!F39," "))</f>
        <v>DOMAGAŁA Dariusz</v>
      </c>
      <c r="H14" s="245" t="str">
        <f>VLOOKUP(G14,lista!J$8:S$23,4,FALSE)</f>
        <v>IC Południowy</v>
      </c>
    </row>
    <row r="15" spans="1:9" ht="19.5" customHeight="1">
      <c r="B15" s="30"/>
      <c r="C15" s="243" t="str">
        <f>VLOOKUP(D15,lista!$D$8:$S$23,15,FALSE)</f>
        <v>-</v>
      </c>
      <c r="D15" s="254" t="str">
        <f>IF(turniej!H50=2,turniej!F44,IF(turniej!H50=1,turniej!F50," "))</f>
        <v>KRAJEWSKA Elżbieta</v>
      </c>
      <c r="E15" s="245" t="str">
        <f>VLOOKUP(D15,lista!D$8:S$23,4,FALSE)</f>
        <v>CT Zachodni</v>
      </c>
      <c r="F15" s="243" t="str">
        <f>VLOOKUP(G15,lista!$J$8:$S$23,10,FALSE)</f>
        <v>-</v>
      </c>
      <c r="G15" s="254" t="str">
        <f>IF(turniej!H50=2,turniej!F45,IF(turniej!H50=1,turniej!F51," "))</f>
        <v>BARTCZAK Henryk</v>
      </c>
      <c r="H15" s="245" t="str">
        <f>VLOOKUP(G15,lista!J$8:S$23,4,FALSE)</f>
        <v>CT Zachodni</v>
      </c>
    </row>
    <row r="16" spans="1:9" ht="19.5" customHeight="1">
      <c r="B16" s="30" t="s">
        <v>31</v>
      </c>
      <c r="C16" s="243" t="str">
        <f>VLOOKUP(D16,lista!$D$8:$S$23,15,FALSE)</f>
        <v>-</v>
      </c>
      <c r="D16" s="254" t="str">
        <f>IF(turniej!E10=2,turniej!C7,IF(turniej!E10=1,turniej!C10," "))</f>
        <v>ŚLUSARCZYK Urszula</v>
      </c>
      <c r="E16" s="245" t="str">
        <f>VLOOKUP(D16,lista!D$8:S$23,4,FALSE)</f>
        <v>IZ Skarżysko Kam.</v>
      </c>
      <c r="F16" s="243" t="str">
        <f>VLOOKUP(G16,lista!$J$8:$S$23,10,FALSE)</f>
        <v>-</v>
      </c>
      <c r="G16" s="254" t="str">
        <f>IF(turniej!E10=2,turniej!C8,IF(turniej!E10=1,turniej!C11," "))</f>
        <v>KOZIEŁ Łukasz</v>
      </c>
      <c r="H16" s="245" t="str">
        <f>VLOOKUP(G16,lista!J$8:S$23,4,FALSE)</f>
        <v>IZ Skarżysko Kam.</v>
      </c>
    </row>
    <row r="17" spans="1:9" ht="19.5" customHeight="1">
      <c r="B17" s="30"/>
      <c r="C17" s="243" t="str">
        <f>VLOOKUP(D17,lista!$D$8:$S$23,15,FALSE)</f>
        <v>-</v>
      </c>
      <c r="D17" s="254" t="str">
        <f>IF(turniej!E16=2,turniej!C13,IF(turniej!E16=1,turniej!C16," "))</f>
        <v>ROSOLSKA Marzena</v>
      </c>
      <c r="E17" s="245" t="str">
        <f>VLOOKUP(D17,lista!D$8:S$23,4,FALSE)</f>
        <v>CT Zachodni</v>
      </c>
      <c r="F17" s="243" t="str">
        <f>VLOOKUP(G17,lista!$J$8:$S$23,10,FALSE)</f>
        <v>-</v>
      </c>
      <c r="G17" s="254" t="str">
        <f>IF(turniej!E16=2,turniej!C14,IF(turniej!E16=1,turniej!C17," "))</f>
        <v>HANDKE Paweł</v>
      </c>
      <c r="H17" s="245" t="str">
        <f>VLOOKUP(G17,lista!J$8:S$23,4,FALSE)</f>
        <v>CT Zachodni</v>
      </c>
    </row>
    <row r="18" spans="1:9" ht="19.5" customHeight="1">
      <c r="B18" s="30"/>
      <c r="C18" s="243" t="str">
        <f>VLOOKUP(D18,lista!$D$8:$S$23,15,FALSE)</f>
        <v>-</v>
      </c>
      <c r="D18" s="254" t="str">
        <f>IF(turniej!E22=2,turniej!C19,IF(turniej!E22=1,turniej!C22," "))</f>
        <v>BALCERZAK Aneta</v>
      </c>
      <c r="E18" s="245" t="str">
        <f>VLOOKUP(D18,lista!D$8:S$23,4,FALSE)</f>
        <v>CT Zachodni</v>
      </c>
      <c r="F18" s="243" t="str">
        <f>VLOOKUP(G18,lista!$J$8:$S$23,10,FALSE)</f>
        <v>-</v>
      </c>
      <c r="G18" s="254" t="str">
        <f>IF(turniej!E22=2,turniej!C20,IF(turniej!E22=1,turniej!C23," "))</f>
        <v>PIECHNIK Henryk</v>
      </c>
      <c r="H18" s="245" t="str">
        <f>VLOOKUP(G18,lista!J$8:S$23,4,FALSE)</f>
        <v>CT Zachodni</v>
      </c>
    </row>
    <row r="19" spans="1:9" ht="19.5" customHeight="1">
      <c r="B19" s="30"/>
      <c r="C19" s="243" t="str">
        <f>VLOOKUP(D19,lista!$D$8:$S$23,15,FALSE)</f>
        <v>-</v>
      </c>
      <c r="D19" s="254" t="str">
        <f>IF(turniej!E28=2,turniej!C25,IF(turniej!E28=1,turniej!C28," "))</f>
        <v>PRYSTUPA Marta</v>
      </c>
      <c r="E19" s="245" t="str">
        <f>VLOOKUP(D19,lista!D$8:S$23,4,FALSE)</f>
        <v>IZ Lublin</v>
      </c>
      <c r="F19" s="243" t="str">
        <f>VLOOKUP(G19,lista!$J$8:$S$23,10,FALSE)</f>
        <v>-</v>
      </c>
      <c r="G19" s="254" t="str">
        <f>IF(turniej!E28=2,turniej!C26,IF(turniej!E28=1,turniej!C29," "))</f>
        <v>NAWOJCZYK Rafał</v>
      </c>
      <c r="H19" s="245" t="str">
        <f>VLOOKUP(G19,lista!J$8:S$23,4,FALSE)</f>
        <v>IZ Lublin</v>
      </c>
    </row>
    <row r="20" spans="1:9" ht="19.5" customHeight="1">
      <c r="B20" s="30"/>
      <c r="C20" s="243" t="str">
        <f>VLOOKUP(D20,lista!$D$8:$S$23,15,FALSE)</f>
        <v>-</v>
      </c>
      <c r="D20" s="254" t="str">
        <f>IF(turniej!E34=2,turniej!C31,IF(turniej!E34=1,turniej!C34," "))</f>
        <v>WITASIK Jolanta</v>
      </c>
      <c r="E20" s="245" t="str">
        <f>VLOOKUP(D20,lista!D$8:S$23,4,FALSE)</f>
        <v>CT Dolnośląski</v>
      </c>
      <c r="F20" s="243" t="str">
        <f>VLOOKUP(G20,lista!$J$8:$S$23,10,FALSE)</f>
        <v>-</v>
      </c>
      <c r="G20" s="254" t="str">
        <f>IF(turniej!E34=2,turniej!C32,IF(turniej!E34=1,turniej!C35," "))</f>
        <v>DROBNY Maciej</v>
      </c>
      <c r="H20" s="245" t="str">
        <f>VLOOKUP(G20,lista!J$8:S$23,4,FALSE)</f>
        <v>CT Dolnośląski</v>
      </c>
    </row>
    <row r="21" spans="1:9" ht="19.5" customHeight="1">
      <c r="B21" s="30"/>
      <c r="C21" s="243" t="str">
        <f>VLOOKUP(D21,lista!$D$8:$S$23,15,FALSE)</f>
        <v>-</v>
      </c>
      <c r="D21" s="254" t="str">
        <f>IF(turniej!E40=2,turniej!C37,IF(turniej!E40=1,turniej!C40," "))</f>
        <v>WŁODAREK-SZCZEPANIAK Magdalena</v>
      </c>
      <c r="E21" s="245" t="str">
        <f>VLOOKUP(D21,lista!D$8:S$23,4,FALSE)</f>
        <v>CT Zachodni</v>
      </c>
      <c r="F21" s="243" t="str">
        <f>VLOOKUP(G21,lista!$J$8:$S$23,10,FALSE)</f>
        <v>-</v>
      </c>
      <c r="G21" s="254" t="str">
        <f>IF(turniej!E40=2,turniej!C38,IF(turniej!E40=1,turniej!C41," "))</f>
        <v>BAZEWICZ Wiesław</v>
      </c>
      <c r="H21" s="245" t="str">
        <f>VLOOKUP(G21,lista!J$8:S$23,4,FALSE)</f>
        <v>CT Zachodni</v>
      </c>
    </row>
    <row r="22" spans="1:9" ht="19.5" customHeight="1">
      <c r="B22" s="30"/>
      <c r="C22" s="243" t="str">
        <f>VLOOKUP(D22,lista!$D$8:$S$23,15,FALSE)</f>
        <v>-</v>
      </c>
      <c r="D22" s="254" t="str">
        <f>IF(turniej!E46=2,turniej!C43,IF(turniej!E46=1,turniej!C46," "))</f>
        <v>GRAŚ Anna</v>
      </c>
      <c r="E22" s="245" t="str">
        <f>VLOOKUP(D22,lista!D$8:S$23,4,FALSE)</f>
        <v>IZ Zielona Góra</v>
      </c>
      <c r="F22" s="243" t="str">
        <f>VLOOKUP(G22,lista!$J$8:$S$23,10,FALSE)</f>
        <v>-</v>
      </c>
      <c r="G22" s="254" t="str">
        <f>IF(turniej!E46=2,turniej!C44,IF(turniej!E46=1,turniej!C47," "))</f>
        <v>LATAŃSKI Dariusz</v>
      </c>
      <c r="H22" s="245" t="str">
        <f>VLOOKUP(G22,lista!J$8:S$23,4,FALSE)</f>
        <v>IZ Zielona Góra</v>
      </c>
    </row>
    <row r="23" spans="1:9" ht="19.5" customHeight="1">
      <c r="B23" s="30"/>
      <c r="C23" s="243" t="str">
        <f>VLOOKUP(D23,lista!$D$8:$S$23,15,FALSE)</f>
        <v>-</v>
      </c>
      <c r="D23" s="254" t="str">
        <f>IF(turniej!E52=2,turniej!C49,IF(turniej!E52=1,turniej!C52," "))</f>
        <v>MICHALSKA Elżbieta</v>
      </c>
      <c r="E23" s="245" t="str">
        <f>VLOOKUP(D23,lista!D$8:S$23,4,FALSE)</f>
        <v>CT Dolnośląski</v>
      </c>
      <c r="F23" s="243" t="str">
        <f>VLOOKUP(G23,lista!$J$8:$S$23,10,FALSE)</f>
        <v>-</v>
      </c>
      <c r="G23" s="254" t="str">
        <f>IF(turniej!E52=2,turniej!C50,IF(turniej!E52=1,turniej!C53," "))</f>
        <v>KOSTRZEWSKI Krzysztof</v>
      </c>
      <c r="H23" s="245" t="str">
        <f>VLOOKUP(G23,lista!J$8:S$23,4,FALSE)</f>
        <v>CT Dolnośląski</v>
      </c>
    </row>
    <row r="24" spans="1:9" s="200" customFormat="1" ht="20.100000000000001" customHeight="1">
      <c r="B24" s="201"/>
      <c r="C24" s="202"/>
      <c r="D24" s="203"/>
      <c r="E24" s="203"/>
      <c r="F24" s="202"/>
      <c r="G24" s="203"/>
      <c r="H24" s="203"/>
    </row>
    <row r="25" spans="1:9" s="200" customFormat="1" ht="20.100000000000001" customHeight="1">
      <c r="B25" s="215" t="s">
        <v>76</v>
      </c>
      <c r="C25" s="202"/>
      <c r="D25" s="203"/>
      <c r="E25" s="203"/>
      <c r="F25" s="202"/>
      <c r="G25" s="203"/>
      <c r="H25" s="203"/>
    </row>
    <row r="26" spans="1:9" s="200" customFormat="1" ht="20.100000000000001" customHeight="1">
      <c r="B26" s="201"/>
      <c r="C26" s="19"/>
      <c r="D26" s="18"/>
      <c r="E26" s="204"/>
      <c r="F26" s="19"/>
      <c r="G26" s="18"/>
      <c r="H26" s="204"/>
    </row>
    <row r="27" spans="1:9" s="200" customFormat="1" ht="20.100000000000001" customHeight="1">
      <c r="B27" s="201"/>
      <c r="C27" s="19"/>
      <c r="D27" s="18"/>
      <c r="E27" s="204"/>
      <c r="F27" s="19"/>
      <c r="G27" s="18"/>
      <c r="H27" s="204"/>
    </row>
    <row r="28" spans="1:9" ht="20.100000000000001" customHeight="1">
      <c r="A28" s="247" t="str">
        <f>IF(info!C$6="","", CONCATENATE(info!B$7," ",info!C$7))</f>
        <v>Obsługa komputerowa: Bartosz MAJCHER</v>
      </c>
      <c r="B28" s="20"/>
      <c r="C28" s="34"/>
      <c r="D28" s="35"/>
      <c r="E28" s="34"/>
      <c r="F28" s="34"/>
      <c r="G28" s="35"/>
      <c r="H28" s="34"/>
      <c r="I28" s="17" t="str">
        <f>IF(info!C$6="","", CONCATENATE(info!B$6," ",info!C$6))</f>
        <v>Sędzia Główny: Bartosz MAJCHER</v>
      </c>
    </row>
    <row r="29" spans="1:9" ht="20.100000000000001" customHeight="1">
      <c r="I29" s="249"/>
    </row>
    <row r="30" spans="1:9" ht="20.100000000000001" customHeight="1">
      <c r="I30" s="36"/>
    </row>
    <row r="31" spans="1:9" ht="20.100000000000001" customHeight="1">
      <c r="I31" s="36"/>
    </row>
    <row r="32" spans="1:9" ht="20.100000000000001" customHeight="1">
      <c r="I32" s="36"/>
    </row>
    <row r="33" spans="1:9" ht="20.100000000000001" customHeight="1">
      <c r="I33" s="36"/>
    </row>
    <row r="34" spans="1:9" ht="20.100000000000001" customHeight="1">
      <c r="I34" s="36"/>
    </row>
    <row r="35" spans="1:9" ht="20.100000000000001" customHeight="1">
      <c r="I35" s="36"/>
    </row>
    <row r="36" spans="1:9" ht="20.100000000000001" customHeight="1">
      <c r="I36" s="36"/>
    </row>
    <row r="37" spans="1:9" ht="20.100000000000001" customHeight="1">
      <c r="I37" s="36"/>
    </row>
    <row r="38" spans="1:9" ht="20.100000000000001" customHeight="1">
      <c r="I38" s="36"/>
    </row>
    <row r="39" spans="1:9" ht="20.100000000000001" customHeight="1">
      <c r="I39" s="36"/>
    </row>
    <row r="40" spans="1:9" ht="20.100000000000001" customHeight="1">
      <c r="A40" s="37"/>
      <c r="B40" s="38"/>
      <c r="I40" s="37"/>
    </row>
    <row r="41" spans="1:9" ht="20.100000000000001" customHeight="1">
      <c r="A41" s="27"/>
      <c r="B41" s="41"/>
      <c r="I41" s="27"/>
    </row>
    <row r="42" spans="1:9" ht="20.100000000000001" customHeight="1">
      <c r="A42" s="37"/>
      <c r="B42" s="38"/>
      <c r="I42" s="37"/>
    </row>
    <row r="43" spans="1:9" ht="20.100000000000001" customHeight="1">
      <c r="A43" s="37"/>
      <c r="B43" s="30"/>
      <c r="I43" s="37"/>
    </row>
    <row r="44" spans="1:9" ht="20.100000000000001" customHeight="1">
      <c r="A44" s="37"/>
      <c r="B44" s="30"/>
      <c r="I44" s="37"/>
    </row>
    <row r="45" spans="1:9" ht="20.100000000000001" customHeight="1">
      <c r="A45" s="37"/>
      <c r="B45" s="30"/>
      <c r="I45" s="37"/>
    </row>
    <row r="46" spans="1:9" ht="20.100000000000001" customHeight="1">
      <c r="A46" s="37"/>
      <c r="B46" s="30"/>
      <c r="I46" s="37"/>
    </row>
    <row r="47" spans="1:9" ht="20.100000000000001" customHeight="1">
      <c r="A47" s="37"/>
      <c r="B47" s="30"/>
      <c r="I47" s="37"/>
    </row>
    <row r="48" spans="1:9" ht="20.100000000000001" customHeight="1">
      <c r="A48" s="37"/>
      <c r="B48" s="30"/>
      <c r="I48" s="37"/>
    </row>
    <row r="49" spans="1:9" ht="20.100000000000001" customHeight="1">
      <c r="A49" s="37"/>
      <c r="B49" s="30"/>
      <c r="I49" s="37"/>
    </row>
    <row r="50" spans="1:9" ht="20.100000000000001" customHeight="1">
      <c r="A50" s="37"/>
      <c r="B50" s="30"/>
      <c r="I50" s="37"/>
    </row>
    <row r="51" spans="1:9" ht="20.100000000000001" customHeight="1">
      <c r="A51" s="37"/>
      <c r="B51" s="30"/>
      <c r="C51" s="21"/>
      <c r="D51" s="21"/>
      <c r="E51" s="21"/>
      <c r="F51" s="31"/>
      <c r="G51" s="32"/>
      <c r="H51" s="33"/>
      <c r="I51" s="37"/>
    </row>
    <row r="52" spans="1:9" ht="20.100000000000001" customHeight="1">
      <c r="A52" s="37"/>
      <c r="B52" s="30"/>
      <c r="C52" s="21"/>
      <c r="D52" s="21"/>
      <c r="E52" s="21"/>
      <c r="F52" s="31"/>
      <c r="G52" s="32"/>
      <c r="H52" s="33"/>
      <c r="I52" s="37"/>
    </row>
    <row r="53" spans="1:9" ht="20.100000000000001" customHeight="1">
      <c r="A53" s="37"/>
      <c r="B53" s="30"/>
      <c r="C53" s="21"/>
      <c r="D53" s="21"/>
      <c r="E53" s="21"/>
      <c r="F53" s="21"/>
      <c r="G53" s="21"/>
      <c r="H53" s="21"/>
      <c r="I53" s="37"/>
    </row>
    <row r="54" spans="1:9" ht="20.100000000000001" customHeight="1">
      <c r="A54" s="37"/>
      <c r="B54" s="30"/>
      <c r="I54" s="37"/>
    </row>
    <row r="55" spans="1:9" ht="20.100000000000001" customHeight="1">
      <c r="A55" s="37"/>
      <c r="B55" s="30"/>
      <c r="F55" s="31"/>
      <c r="G55" s="32"/>
      <c r="H55" s="33"/>
      <c r="I55" s="37"/>
    </row>
    <row r="56" spans="1:9" ht="20.100000000000001" customHeight="1">
      <c r="A56" s="37"/>
      <c r="B56" s="30"/>
      <c r="C56" s="21"/>
      <c r="D56" s="21"/>
      <c r="E56" s="21"/>
      <c r="F56" s="31"/>
      <c r="G56" s="32"/>
      <c r="H56" s="33"/>
      <c r="I56" s="37"/>
    </row>
    <row r="57" spans="1:9" ht="20.100000000000001" customHeight="1">
      <c r="A57" s="37"/>
      <c r="B57" s="30"/>
      <c r="C57" s="21"/>
      <c r="D57" s="21"/>
      <c r="E57" s="21"/>
      <c r="F57" s="31"/>
      <c r="G57" s="32"/>
      <c r="H57" s="33"/>
      <c r="I57" s="37"/>
    </row>
    <row r="58" spans="1:9" ht="20.100000000000001" customHeight="1">
      <c r="A58" s="37"/>
      <c r="B58" s="30"/>
      <c r="C58" s="21"/>
      <c r="D58" s="21"/>
      <c r="E58" s="21"/>
      <c r="F58" s="31"/>
      <c r="G58" s="32"/>
      <c r="H58" s="33"/>
      <c r="I58" s="37"/>
    </row>
    <row r="59" spans="1:9" ht="18">
      <c r="A59" s="37"/>
      <c r="B59" s="30"/>
      <c r="C59" s="21"/>
      <c r="D59" s="21"/>
      <c r="E59" s="21"/>
      <c r="F59" s="31"/>
      <c r="G59" s="32"/>
      <c r="H59" s="33"/>
      <c r="I59" s="37"/>
    </row>
    <row r="60" spans="1:9" ht="18">
      <c r="A60" s="37"/>
      <c r="B60" s="30"/>
      <c r="C60" s="21"/>
      <c r="D60" s="21"/>
      <c r="E60" s="21"/>
      <c r="F60" s="31"/>
      <c r="G60" s="32"/>
      <c r="H60" s="33"/>
      <c r="I60" s="37"/>
    </row>
    <row r="61" spans="1:9" ht="18">
      <c r="A61" s="37"/>
      <c r="B61" s="30"/>
      <c r="C61" s="21"/>
      <c r="D61" s="21"/>
      <c r="E61" s="21"/>
      <c r="F61" s="31"/>
      <c r="G61" s="32"/>
      <c r="H61" s="33"/>
      <c r="I61" s="37"/>
    </row>
    <row r="62" spans="1:9" ht="18">
      <c r="A62" s="37"/>
      <c r="B62" s="30"/>
      <c r="C62" s="21"/>
      <c r="D62" s="21"/>
      <c r="E62" s="21"/>
      <c r="F62" s="31"/>
      <c r="G62" s="32"/>
      <c r="H62" s="33"/>
      <c r="I62" s="37"/>
    </row>
    <row r="63" spans="1:9" ht="18">
      <c r="A63" s="37"/>
      <c r="B63" s="30"/>
      <c r="C63" s="21"/>
      <c r="D63" s="21"/>
      <c r="E63" s="21"/>
      <c r="F63" s="31"/>
      <c r="G63" s="32"/>
      <c r="H63" s="33"/>
      <c r="I63" s="37"/>
    </row>
    <row r="64" spans="1:9" ht="18">
      <c r="A64" s="37"/>
      <c r="B64" s="30"/>
      <c r="C64" s="21"/>
      <c r="D64" s="21"/>
      <c r="E64" s="21"/>
      <c r="F64" s="31"/>
      <c r="G64" s="32"/>
      <c r="H64" s="33"/>
      <c r="I64" s="37"/>
    </row>
    <row r="65" spans="1:9" ht="17.399999999999999">
      <c r="A65" s="37"/>
      <c r="B65" s="38"/>
      <c r="C65" s="21"/>
      <c r="D65" s="21"/>
      <c r="E65" s="21"/>
      <c r="F65" s="31"/>
      <c r="G65" s="32"/>
      <c r="H65" s="33"/>
      <c r="I65" s="37"/>
    </row>
    <row r="66" spans="1:9" ht="18">
      <c r="C66" s="21"/>
      <c r="D66" s="21"/>
      <c r="E66" s="21"/>
      <c r="F66" s="42"/>
      <c r="G66" s="43"/>
      <c r="H66" s="44"/>
    </row>
    <row r="67" spans="1:9" ht="18">
      <c r="C67" s="21"/>
      <c r="D67" s="21"/>
      <c r="E67" s="21"/>
      <c r="F67" s="42"/>
      <c r="G67" s="43"/>
      <c r="H67" s="44"/>
    </row>
    <row r="68" spans="1:9" ht="18">
      <c r="C68" s="21"/>
      <c r="D68" s="21"/>
      <c r="E68" s="21"/>
      <c r="F68" s="42"/>
      <c r="G68" s="32"/>
      <c r="H68" s="44"/>
    </row>
    <row r="69" spans="1:9" ht="17.399999999999999">
      <c r="B69" s="38"/>
      <c r="C69" s="21"/>
      <c r="D69" s="21"/>
      <c r="E69" s="21"/>
      <c r="F69" s="39"/>
      <c r="G69" s="32"/>
      <c r="H69" s="40"/>
      <c r="I69" s="37"/>
    </row>
    <row r="70" spans="1:9" ht="17.399999999999999">
      <c r="B70" s="38"/>
      <c r="C70" s="21"/>
      <c r="D70" s="21"/>
      <c r="E70" s="21"/>
      <c r="F70" s="39"/>
      <c r="G70" s="32"/>
      <c r="H70" s="40"/>
      <c r="I70" s="37"/>
    </row>
    <row r="71" spans="1:9" ht="17.399999999999999">
      <c r="B71" s="38"/>
      <c r="C71" s="21"/>
      <c r="D71" s="21"/>
      <c r="E71" s="21"/>
      <c r="F71" s="39"/>
      <c r="G71" s="32"/>
      <c r="H71" s="40"/>
      <c r="I71" s="37"/>
    </row>
    <row r="72" spans="1:9" ht="17.399999999999999">
      <c r="B72" s="38"/>
      <c r="C72" s="21"/>
      <c r="D72" s="21"/>
      <c r="E72" s="21"/>
      <c r="F72" s="39"/>
      <c r="G72" s="32"/>
      <c r="H72" s="40"/>
      <c r="I72" s="37"/>
    </row>
    <row r="73" spans="1:9" ht="17.399999999999999">
      <c r="B73" s="38"/>
      <c r="C73" s="21"/>
      <c r="D73" s="21"/>
      <c r="E73" s="21"/>
      <c r="F73" s="39"/>
      <c r="G73" s="32"/>
      <c r="H73" s="40"/>
      <c r="I73" s="37"/>
    </row>
    <row r="74" spans="1:9">
      <c r="B74" s="38"/>
      <c r="C74" s="21"/>
      <c r="D74" s="21"/>
      <c r="E74" s="21"/>
      <c r="F74" s="39"/>
      <c r="G74" s="40"/>
      <c r="H74" s="40"/>
      <c r="I74" s="37"/>
    </row>
    <row r="75" spans="1:9">
      <c r="B75" s="38"/>
      <c r="C75" s="21"/>
      <c r="D75" s="21"/>
      <c r="E75" s="21"/>
      <c r="F75" s="39"/>
      <c r="G75" s="40"/>
      <c r="H75" s="40"/>
      <c r="I75" s="37"/>
    </row>
    <row r="76" spans="1:9">
      <c r="B76" s="38"/>
      <c r="C76" s="21"/>
      <c r="D76" s="21"/>
      <c r="E76" s="21"/>
      <c r="F76" s="39"/>
      <c r="G76" s="40"/>
      <c r="H76" s="40"/>
      <c r="I76" s="37"/>
    </row>
    <row r="77" spans="1:9">
      <c r="B77" s="38"/>
      <c r="C77" s="21"/>
      <c r="D77" s="21"/>
      <c r="E77" s="21"/>
      <c r="F77" s="39"/>
      <c r="G77" s="40"/>
      <c r="H77" s="40"/>
      <c r="I77" s="37"/>
    </row>
    <row r="78" spans="1:9">
      <c r="B78" s="38"/>
      <c r="C78" s="21"/>
      <c r="D78" s="21"/>
      <c r="E78" s="21"/>
      <c r="F78" s="39"/>
      <c r="G78" s="40"/>
      <c r="H78" s="40"/>
      <c r="I78" s="37"/>
    </row>
    <row r="79" spans="1:9">
      <c r="B79" s="38"/>
      <c r="C79" s="21"/>
      <c r="D79" s="21"/>
      <c r="E79" s="21"/>
      <c r="F79" s="39"/>
      <c r="G79" s="40"/>
      <c r="H79" s="40"/>
      <c r="I79" s="37"/>
    </row>
    <row r="80" spans="1:9">
      <c r="B80" s="38"/>
      <c r="C80" s="21"/>
      <c r="D80" s="21"/>
      <c r="E80" s="21"/>
      <c r="F80" s="39"/>
      <c r="G80" s="40"/>
      <c r="H80" s="40"/>
      <c r="I80" s="37"/>
    </row>
    <row r="81" spans="2:9">
      <c r="B81" s="38"/>
      <c r="C81" s="21"/>
      <c r="D81" s="21"/>
      <c r="E81" s="21"/>
      <c r="F81" s="39"/>
      <c r="G81" s="40"/>
      <c r="H81" s="40"/>
      <c r="I81" s="37"/>
    </row>
    <row r="82" spans="2:9">
      <c r="B82" s="38"/>
      <c r="C82" s="21"/>
      <c r="D82" s="21"/>
      <c r="E82" s="21"/>
      <c r="F82" s="39"/>
      <c r="G82" s="40"/>
      <c r="H82" s="40"/>
      <c r="I82" s="37"/>
    </row>
    <row r="83" spans="2:9" ht="17.399999999999999">
      <c r="B83" s="38"/>
      <c r="C83" s="21"/>
      <c r="D83" s="21"/>
      <c r="E83" s="21"/>
      <c r="F83" s="39"/>
      <c r="G83" s="32"/>
      <c r="H83" s="40"/>
      <c r="I83" s="37"/>
    </row>
    <row r="84" spans="2:9">
      <c r="B84" s="38"/>
      <c r="C84" s="21"/>
      <c r="D84" s="21"/>
      <c r="E84" s="21"/>
      <c r="F84" s="39"/>
      <c r="G84" s="40"/>
      <c r="H84" s="40"/>
      <c r="I84" s="37"/>
    </row>
    <row r="85" spans="2:9">
      <c r="C85" s="21"/>
      <c r="D85" s="21"/>
      <c r="E85" s="21"/>
    </row>
    <row r="86" spans="2:9">
      <c r="C86" s="21"/>
      <c r="D86" s="21"/>
      <c r="E86" s="21"/>
    </row>
    <row r="87" spans="2:9">
      <c r="C87" s="21"/>
      <c r="D87" s="21"/>
      <c r="E87" s="21"/>
    </row>
  </sheetData>
  <sheetProtection formatCells="0" formatColumns="0" formatRows="0" insertRows="0"/>
  <mergeCells count="3">
    <mergeCell ref="A3:I3"/>
    <mergeCell ref="A4:I4"/>
    <mergeCell ref="A1:I1"/>
  </mergeCells>
  <printOptions horizontalCentered="1"/>
  <pageMargins left="0.39370078740157483" right="0.39370078740157483" top="0.23622047244094491" bottom="0.19685039370078741" header="0" footer="0"/>
  <pageSetup paperSize="9" scale="4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1"/>
    <pageSetUpPr fitToPage="1"/>
  </sheetPr>
  <dimension ref="A1:AD37"/>
  <sheetViews>
    <sheetView zoomScale="80" zoomScaleNormal="80" workbookViewId="0">
      <selection activeCell="AC15" sqref="AC15"/>
    </sheetView>
  </sheetViews>
  <sheetFormatPr defaultColWidth="9.109375" defaultRowHeight="13.8"/>
  <cols>
    <col min="1" max="1" width="1.6640625" style="133" customWidth="1"/>
    <col min="2" max="4" width="8.33203125" style="133" customWidth="1"/>
    <col min="5" max="5" width="7.33203125" style="133" customWidth="1"/>
    <col min="6" max="7" width="1.5546875" style="133" customWidth="1"/>
    <col min="8" max="8" width="7.33203125" style="133" customWidth="1"/>
    <col min="9" max="11" width="8.33203125" style="133" customWidth="1"/>
    <col min="12" max="12" width="1.6640625" style="133" customWidth="1"/>
    <col min="13" max="13" width="3.6640625" style="132" customWidth="1"/>
    <col min="14" max="14" width="1.6640625" style="133" customWidth="1"/>
    <col min="15" max="17" width="8.33203125" style="133" customWidth="1"/>
    <col min="18" max="18" width="7.33203125" style="133" customWidth="1"/>
    <col min="19" max="20" width="1.5546875" style="133" customWidth="1"/>
    <col min="21" max="21" width="7.33203125" style="133" customWidth="1"/>
    <col min="22" max="24" width="8.33203125" style="133" customWidth="1"/>
    <col min="25" max="26" width="1.6640625" style="133" customWidth="1"/>
    <col min="27" max="27" width="8.6640625" style="133" customWidth="1"/>
    <col min="28" max="28" width="13.109375" style="133" bestFit="1" customWidth="1"/>
    <col min="29" max="29" width="8.6640625" style="133" customWidth="1"/>
    <col min="30" max="16384" width="9.109375" style="133"/>
  </cols>
  <sheetData>
    <row r="1" spans="1:30" ht="6" customHeight="1">
      <c r="A1" s="129"/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1"/>
      <c r="N1" s="129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1"/>
      <c r="Z1" s="132"/>
    </row>
    <row r="2" spans="1:30" s="139" customFormat="1" ht="12" customHeight="1" thickBot="1">
      <c r="A2" s="134"/>
      <c r="B2" s="135" t="s">
        <v>55</v>
      </c>
      <c r="C2" s="136"/>
      <c r="D2" s="136"/>
      <c r="E2" s="136"/>
      <c r="F2" s="136"/>
      <c r="G2" s="136"/>
      <c r="H2" s="136"/>
      <c r="I2" s="136"/>
      <c r="J2" s="136"/>
      <c r="K2" s="137" t="s">
        <v>56</v>
      </c>
      <c r="L2" s="138"/>
      <c r="M2" s="136"/>
      <c r="N2" s="134"/>
      <c r="O2" s="135" t="s">
        <v>55</v>
      </c>
      <c r="P2" s="136"/>
      <c r="Q2" s="136"/>
      <c r="R2" s="136"/>
      <c r="S2" s="136"/>
      <c r="T2" s="136"/>
      <c r="U2" s="136"/>
      <c r="V2" s="136"/>
      <c r="W2" s="136"/>
      <c r="X2" s="137" t="s">
        <v>56</v>
      </c>
      <c r="Y2" s="138"/>
      <c r="Z2" s="136"/>
    </row>
    <row r="3" spans="1:30" ht="18" customHeight="1" thickBot="1">
      <c r="A3" s="140"/>
      <c r="B3" s="307" t="str">
        <f>AB3</f>
        <v>Mieszana</v>
      </c>
      <c r="C3" s="307"/>
      <c r="D3" s="308" t="s">
        <v>57</v>
      </c>
      <c r="E3" s="308"/>
      <c r="F3" s="308"/>
      <c r="G3" s="308"/>
      <c r="H3" s="308"/>
      <c r="I3" s="308"/>
      <c r="J3" s="309" t="str">
        <f>VLOOKUP(AB6,turniej!P6:U62,6,FALSE)</f>
        <v xml:space="preserve"> </v>
      </c>
      <c r="K3" s="309"/>
      <c r="L3" s="141"/>
      <c r="M3" s="142"/>
      <c r="N3" s="143"/>
      <c r="O3" s="307" t="str">
        <f>AB3</f>
        <v>Mieszana</v>
      </c>
      <c r="P3" s="307"/>
      <c r="Q3" s="308" t="s">
        <v>57</v>
      </c>
      <c r="R3" s="308"/>
      <c r="S3" s="308"/>
      <c r="T3" s="308"/>
      <c r="U3" s="308"/>
      <c r="V3" s="308"/>
      <c r="W3" s="309" t="str">
        <f>VLOOKUP(AB7,turniej!P6:U62,6,FALSE)</f>
        <v xml:space="preserve"> </v>
      </c>
      <c r="X3" s="309"/>
      <c r="Y3" s="144"/>
      <c r="Z3" s="132"/>
      <c r="AA3" s="229" t="s">
        <v>80</v>
      </c>
      <c r="AB3" s="230" t="str">
        <f>IF(info!C9="","",info!C9)</f>
        <v>Mieszana</v>
      </c>
    </row>
    <row r="4" spans="1:30" ht="10.5" customHeight="1">
      <c r="A4" s="140"/>
      <c r="B4" s="142"/>
      <c r="C4" s="142"/>
      <c r="D4" s="308"/>
      <c r="E4" s="308"/>
      <c r="F4" s="308"/>
      <c r="G4" s="308"/>
      <c r="H4" s="308"/>
      <c r="I4" s="308"/>
      <c r="J4" s="142"/>
      <c r="K4" s="142"/>
      <c r="L4" s="141"/>
      <c r="M4" s="142"/>
      <c r="N4" s="143"/>
      <c r="O4" s="142"/>
      <c r="P4" s="142"/>
      <c r="Q4" s="308"/>
      <c r="R4" s="308"/>
      <c r="S4" s="308"/>
      <c r="T4" s="308"/>
      <c r="U4" s="308"/>
      <c r="V4" s="308"/>
      <c r="W4" s="142"/>
      <c r="X4" s="142"/>
      <c r="Y4" s="144"/>
      <c r="Z4" s="132"/>
      <c r="AA4" s="231"/>
      <c r="AB4" s="232"/>
    </row>
    <row r="5" spans="1:30" ht="6" customHeight="1" thickBot="1">
      <c r="A5" s="140"/>
      <c r="B5" s="142"/>
      <c r="C5" s="142"/>
      <c r="D5" s="146"/>
      <c r="E5" s="146"/>
      <c r="F5" s="146"/>
      <c r="G5" s="146"/>
      <c r="H5" s="146"/>
      <c r="I5" s="146"/>
      <c r="J5" s="142"/>
      <c r="K5" s="142"/>
      <c r="L5" s="141"/>
      <c r="M5" s="142"/>
      <c r="N5" s="143"/>
      <c r="O5" s="142"/>
      <c r="P5" s="142"/>
      <c r="Q5" s="146"/>
      <c r="R5" s="146"/>
      <c r="S5" s="146"/>
      <c r="T5" s="146"/>
      <c r="U5" s="146"/>
      <c r="V5" s="146"/>
      <c r="W5" s="142"/>
      <c r="X5" s="142"/>
      <c r="Y5" s="144"/>
      <c r="Z5" s="132"/>
      <c r="AA5" s="231"/>
      <c r="AB5" s="232"/>
    </row>
    <row r="6" spans="1:30" s="152" customFormat="1" ht="23.25" customHeight="1" thickBot="1">
      <c r="A6" s="147"/>
      <c r="B6" s="211" t="str">
        <f>VLOOKUP(C6,lista!$D$8:$S$23,15,FALSE)</f>
        <v>-</v>
      </c>
      <c r="C6" s="305" t="str">
        <f>VLOOKUP(AB6,turniej!$P$6:$U$184,2,FALSE)</f>
        <v>LEWANDOWSKA Grażyna</v>
      </c>
      <c r="D6" s="305"/>
      <c r="E6" s="306"/>
      <c r="F6" s="148"/>
      <c r="G6" s="148"/>
      <c r="H6" s="211" t="str">
        <f>VLOOKUP(I6,lista!$D$8:$S$23,15,FALSE)</f>
        <v>-</v>
      </c>
      <c r="I6" s="305" t="str">
        <f>VLOOKUP(AB6,turniej!$P$6:$U$184,4,FALSE)</f>
        <v>ŚLUSARCZYK Urszula</v>
      </c>
      <c r="J6" s="305"/>
      <c r="K6" s="306"/>
      <c r="L6" s="149"/>
      <c r="M6" s="148"/>
      <c r="N6" s="147"/>
      <c r="O6" s="211" t="str">
        <f>VLOOKUP(P6,lista!$D$8:$S$23,15,FALSE)</f>
        <v>-</v>
      </c>
      <c r="P6" s="305" t="str">
        <f>VLOOKUP(AB7,turniej!$P$6:$U$184,2,FALSE)</f>
        <v>ROSOLSKA Marzena</v>
      </c>
      <c r="Q6" s="305"/>
      <c r="R6" s="306"/>
      <c r="S6" s="148"/>
      <c r="T6" s="148"/>
      <c r="U6" s="211" t="str">
        <f>VLOOKUP(V6,lista!$D$8:$S$23,15,FALSE)</f>
        <v>-</v>
      </c>
      <c r="V6" s="305" t="str">
        <f>VLOOKUP(AB7,turniej!$P$6:$U$184,4,FALSE)</f>
        <v>CZERWIŃSKA Krystyna</v>
      </c>
      <c r="W6" s="305"/>
      <c r="X6" s="306"/>
      <c r="Y6" s="150"/>
      <c r="Z6" s="148"/>
      <c r="AA6" s="233" t="s">
        <v>41</v>
      </c>
      <c r="AB6" s="234">
        <v>101</v>
      </c>
    </row>
    <row r="7" spans="1:30" s="162" customFormat="1" ht="12" customHeight="1" thickBot="1">
      <c r="A7" s="153"/>
      <c r="B7" s="195" t="s">
        <v>58</v>
      </c>
      <c r="C7" s="157"/>
      <c r="D7" s="157"/>
      <c r="E7" s="196"/>
      <c r="F7" s="157"/>
      <c r="G7" s="157"/>
      <c r="H7" s="195" t="s">
        <v>58</v>
      </c>
      <c r="I7" s="157"/>
      <c r="J7" s="157"/>
      <c r="K7" s="196"/>
      <c r="L7" s="158"/>
      <c r="M7" s="157"/>
      <c r="N7" s="159"/>
      <c r="O7" s="195" t="s">
        <v>58</v>
      </c>
      <c r="P7" s="157"/>
      <c r="Q7" s="157"/>
      <c r="R7" s="196"/>
      <c r="S7" s="157"/>
      <c r="T7" s="157"/>
      <c r="U7" s="195" t="s">
        <v>58</v>
      </c>
      <c r="V7" s="157"/>
      <c r="W7" s="157"/>
      <c r="X7" s="196"/>
      <c r="Y7" s="160"/>
      <c r="AA7" s="235" t="s">
        <v>41</v>
      </c>
      <c r="AB7" s="234">
        <v>102</v>
      </c>
      <c r="AC7" s="151"/>
      <c r="AD7" s="161"/>
    </row>
    <row r="8" spans="1:30" ht="11.25" customHeight="1" thickBot="1">
      <c r="A8" s="140"/>
      <c r="B8" s="299" t="str">
        <f>VLOOKUP(C8,lista!$J$8:$S$23,10,FALSE)</f>
        <v>-</v>
      </c>
      <c r="C8" s="301" t="str">
        <f>VLOOKUP(AB6,turniej!$P$6:$U$184,3,FALSE)</f>
        <v>MIKOŁAJCZAK Piotr</v>
      </c>
      <c r="D8" s="301"/>
      <c r="E8" s="302"/>
      <c r="F8" s="142"/>
      <c r="G8" s="142"/>
      <c r="H8" s="299" t="str">
        <f>VLOOKUP(I8,lista!$J$8:$S$23,10,FALSE)</f>
        <v>-</v>
      </c>
      <c r="I8" s="301" t="str">
        <f>VLOOKUP(AB6,turniej!$P$6:$U$184,5,FALSE)</f>
        <v>KOZIEŁ Łukasz</v>
      </c>
      <c r="J8" s="301"/>
      <c r="K8" s="302"/>
      <c r="L8" s="141"/>
      <c r="M8" s="142"/>
      <c r="N8" s="143"/>
      <c r="O8" s="299" t="str">
        <f>VLOOKUP(P8,lista!$J$8:$S$23,10,FALSE)</f>
        <v>-</v>
      </c>
      <c r="P8" s="301" t="str">
        <f>VLOOKUP(AB7,turniej!$P$6:$U$184,3,FALSE)</f>
        <v>HANDKE Paweł</v>
      </c>
      <c r="Q8" s="301"/>
      <c r="R8" s="302"/>
      <c r="S8" s="142"/>
      <c r="T8" s="142"/>
      <c r="U8" s="299" t="str">
        <f>VLOOKUP(V8,lista!$J$8:$S$23,10,FALSE)</f>
        <v>-</v>
      </c>
      <c r="V8" s="301" t="str">
        <f>VLOOKUP(AB7,turniej!$P$6:$U$184,5,FALSE)</f>
        <v>OWSIANNY Jarosław</v>
      </c>
      <c r="W8" s="301"/>
      <c r="X8" s="302"/>
      <c r="Y8" s="144"/>
      <c r="Z8" s="132"/>
      <c r="AA8" s="235" t="s">
        <v>41</v>
      </c>
      <c r="AB8" s="234">
        <v>103</v>
      </c>
      <c r="AC8" s="151"/>
      <c r="AD8" s="145"/>
    </row>
    <row r="9" spans="1:30" s="152" customFormat="1" ht="13.5" customHeight="1" thickBot="1">
      <c r="A9" s="147"/>
      <c r="B9" s="300"/>
      <c r="C9" s="303"/>
      <c r="D9" s="303"/>
      <c r="E9" s="304"/>
      <c r="F9" s="163"/>
      <c r="G9" s="163"/>
      <c r="H9" s="300"/>
      <c r="I9" s="303"/>
      <c r="J9" s="303"/>
      <c r="K9" s="304"/>
      <c r="L9" s="164"/>
      <c r="M9" s="163"/>
      <c r="N9" s="165"/>
      <c r="O9" s="300"/>
      <c r="P9" s="303"/>
      <c r="Q9" s="303"/>
      <c r="R9" s="304"/>
      <c r="S9" s="163"/>
      <c r="T9" s="163"/>
      <c r="U9" s="300"/>
      <c r="V9" s="303"/>
      <c r="W9" s="303"/>
      <c r="X9" s="304"/>
      <c r="Y9" s="166"/>
      <c r="Z9" s="228"/>
      <c r="AA9" s="236" t="s">
        <v>41</v>
      </c>
      <c r="AB9" s="237">
        <v>104</v>
      </c>
    </row>
    <row r="10" spans="1:30" s="162" customFormat="1" ht="12" customHeight="1" thickBot="1">
      <c r="A10" s="153"/>
      <c r="B10" s="154" t="s">
        <v>58</v>
      </c>
      <c r="C10" s="155"/>
      <c r="D10" s="155"/>
      <c r="E10" s="156"/>
      <c r="H10" s="154" t="s">
        <v>58</v>
      </c>
      <c r="I10" s="155"/>
      <c r="J10" s="155"/>
      <c r="K10" s="156"/>
      <c r="L10" s="167"/>
      <c r="N10" s="153"/>
      <c r="O10" s="154" t="s">
        <v>58</v>
      </c>
      <c r="P10" s="155"/>
      <c r="Q10" s="155"/>
      <c r="R10" s="156"/>
      <c r="U10" s="154" t="s">
        <v>58</v>
      </c>
      <c r="V10" s="155"/>
      <c r="W10" s="155"/>
      <c r="X10" s="156"/>
      <c r="Y10" s="160"/>
      <c r="AA10" s="151"/>
      <c r="AB10" s="161"/>
      <c r="AC10" s="151"/>
      <c r="AD10" s="168"/>
    </row>
    <row r="11" spans="1:30" ht="12" customHeight="1">
      <c r="A11" s="140"/>
      <c r="B11" s="132"/>
      <c r="C11" s="132"/>
      <c r="D11" s="132"/>
      <c r="E11" s="132"/>
      <c r="F11" s="132"/>
      <c r="G11" s="132"/>
      <c r="H11" s="132"/>
      <c r="I11" s="132"/>
      <c r="J11" s="132"/>
      <c r="K11" s="132"/>
      <c r="L11" s="169"/>
      <c r="N11" s="140"/>
      <c r="O11" s="132"/>
      <c r="P11" s="132"/>
      <c r="Q11" s="132"/>
      <c r="R11" s="132"/>
      <c r="S11" s="132"/>
      <c r="T11" s="132"/>
      <c r="U11" s="132"/>
      <c r="V11" s="132"/>
      <c r="W11" s="132"/>
      <c r="X11" s="132"/>
      <c r="Y11" s="144"/>
      <c r="Z11" s="132"/>
      <c r="AA11" s="132"/>
      <c r="AB11" s="168"/>
      <c r="AC11" s="132"/>
      <c r="AD11" s="168"/>
    </row>
    <row r="12" spans="1:30" ht="12" customHeight="1">
      <c r="A12" s="140"/>
      <c r="C12" s="205" t="s">
        <v>59</v>
      </c>
      <c r="D12" s="206" t="s">
        <v>60</v>
      </c>
      <c r="E12" s="298" t="s">
        <v>61</v>
      </c>
      <c r="F12" s="298"/>
      <c r="G12" s="298" t="s">
        <v>62</v>
      </c>
      <c r="H12" s="298"/>
      <c r="I12" s="207" t="s">
        <v>63</v>
      </c>
      <c r="J12" s="205" t="s">
        <v>64</v>
      </c>
      <c r="L12" s="169"/>
      <c r="N12" s="140"/>
      <c r="P12" s="205" t="s">
        <v>59</v>
      </c>
      <c r="Q12" s="206" t="s">
        <v>60</v>
      </c>
      <c r="R12" s="298" t="s">
        <v>61</v>
      </c>
      <c r="S12" s="298"/>
      <c r="T12" s="298" t="s">
        <v>62</v>
      </c>
      <c r="U12" s="298"/>
      <c r="V12" s="207" t="s">
        <v>63</v>
      </c>
      <c r="W12" s="205" t="s">
        <v>64</v>
      </c>
      <c r="Y12" s="144"/>
      <c r="Z12" s="132"/>
      <c r="AA12" s="170"/>
      <c r="AB12" s="171"/>
      <c r="AC12" s="170"/>
      <c r="AD12" s="145"/>
    </row>
    <row r="13" spans="1:30" ht="36" customHeight="1">
      <c r="A13" s="140"/>
      <c r="C13" s="208"/>
      <c r="D13" s="178"/>
      <c r="E13" s="178"/>
      <c r="F13" s="209"/>
      <c r="G13" s="210"/>
      <c r="H13" s="210"/>
      <c r="I13" s="208"/>
      <c r="J13" s="208"/>
      <c r="L13" s="169"/>
      <c r="N13" s="140"/>
      <c r="P13" s="208"/>
      <c r="Q13" s="178"/>
      <c r="R13" s="178"/>
      <c r="S13" s="209"/>
      <c r="T13" s="210"/>
      <c r="U13" s="210"/>
      <c r="V13" s="208"/>
      <c r="W13" s="208"/>
      <c r="Y13" s="144"/>
      <c r="Z13" s="132"/>
      <c r="AB13" s="145"/>
      <c r="AC13" s="145"/>
      <c r="AD13" s="145"/>
    </row>
    <row r="14" spans="1:30" ht="21" customHeight="1" thickBot="1">
      <c r="A14" s="140"/>
      <c r="B14" s="135" t="s">
        <v>65</v>
      </c>
      <c r="C14" s="132"/>
      <c r="D14" s="132"/>
      <c r="E14" s="132"/>
      <c r="F14" s="132"/>
      <c r="G14" s="132"/>
      <c r="H14" s="132"/>
      <c r="I14" s="132"/>
      <c r="J14" s="132"/>
      <c r="K14" s="137" t="s">
        <v>66</v>
      </c>
      <c r="L14" s="169"/>
      <c r="N14" s="140"/>
      <c r="O14" s="135" t="s">
        <v>65</v>
      </c>
      <c r="P14" s="132"/>
      <c r="Q14" s="132"/>
      <c r="R14" s="132"/>
      <c r="S14" s="132"/>
      <c r="T14" s="132"/>
      <c r="U14" s="132"/>
      <c r="V14" s="132"/>
      <c r="W14" s="132"/>
      <c r="X14" s="137" t="s">
        <v>66</v>
      </c>
      <c r="Y14" s="144"/>
      <c r="Z14" s="132"/>
      <c r="AA14" s="170"/>
      <c r="AB14" s="171"/>
      <c r="AC14" s="170"/>
      <c r="AD14" s="145"/>
    </row>
    <row r="15" spans="1:30" ht="23.25" customHeight="1" thickBot="1">
      <c r="A15" s="140"/>
      <c r="B15" s="310"/>
      <c r="C15" s="310"/>
      <c r="D15" s="310"/>
      <c r="E15" s="310"/>
      <c r="F15" s="310"/>
      <c r="G15" s="310"/>
      <c r="H15" s="310"/>
      <c r="I15" s="310"/>
      <c r="J15" s="132"/>
      <c r="K15" s="172"/>
      <c r="L15" s="169"/>
      <c r="N15" s="140"/>
      <c r="O15" s="310"/>
      <c r="P15" s="310"/>
      <c r="Q15" s="310"/>
      <c r="R15" s="310"/>
      <c r="S15" s="310"/>
      <c r="T15" s="310"/>
      <c r="U15" s="310"/>
      <c r="V15" s="310"/>
      <c r="W15" s="132"/>
      <c r="X15" s="172"/>
      <c r="Y15" s="169"/>
      <c r="Z15" s="132"/>
    </row>
    <row r="16" spans="1:30" ht="9" customHeight="1">
      <c r="A16" s="140"/>
      <c r="C16" s="173"/>
      <c r="D16" s="173"/>
      <c r="F16" s="173"/>
      <c r="G16" s="173"/>
      <c r="H16" s="173"/>
      <c r="I16" s="173"/>
      <c r="J16" s="132"/>
      <c r="L16" s="169"/>
      <c r="N16" s="140"/>
      <c r="P16" s="173"/>
      <c r="Q16" s="173"/>
      <c r="S16" s="173"/>
      <c r="T16" s="173"/>
      <c r="U16" s="173"/>
      <c r="V16" s="173"/>
      <c r="W16" s="132"/>
      <c r="Y16" s="169"/>
      <c r="Z16" s="132"/>
    </row>
    <row r="17" spans="1:26" ht="24" customHeight="1">
      <c r="A17" s="140"/>
      <c r="B17" s="174" t="s">
        <v>67</v>
      </c>
      <c r="C17" s="175"/>
      <c r="D17" s="173"/>
      <c r="E17" s="176" t="s">
        <v>68</v>
      </c>
      <c r="F17" s="177"/>
      <c r="G17" s="177"/>
      <c r="H17" s="175"/>
      <c r="I17" s="173"/>
      <c r="J17" s="178"/>
      <c r="K17" s="179" t="s">
        <v>67</v>
      </c>
      <c r="L17" s="169"/>
      <c r="N17" s="140"/>
      <c r="O17" s="174" t="s">
        <v>67</v>
      </c>
      <c r="P17" s="175"/>
      <c r="Q17" s="173"/>
      <c r="R17" s="176" t="s">
        <v>68</v>
      </c>
      <c r="S17" s="177"/>
      <c r="T17" s="177"/>
      <c r="U17" s="175"/>
      <c r="V17" s="173"/>
      <c r="W17" s="178"/>
      <c r="X17" s="179" t="s">
        <v>67</v>
      </c>
      <c r="Y17" s="169"/>
      <c r="Z17" s="132"/>
    </row>
    <row r="18" spans="1:26" ht="6" customHeight="1">
      <c r="A18" s="180"/>
      <c r="B18" s="181"/>
      <c r="C18" s="181"/>
      <c r="D18" s="181"/>
      <c r="E18" s="181"/>
      <c r="F18" s="181"/>
      <c r="G18" s="181"/>
      <c r="H18" s="181"/>
      <c r="I18" s="181"/>
      <c r="J18" s="181"/>
      <c r="K18" s="181"/>
      <c r="L18" s="182"/>
      <c r="N18" s="180"/>
      <c r="O18" s="181"/>
      <c r="P18" s="181"/>
      <c r="Q18" s="181"/>
      <c r="R18" s="181"/>
      <c r="S18" s="181"/>
      <c r="T18" s="181"/>
      <c r="U18" s="181"/>
      <c r="V18" s="181"/>
      <c r="W18" s="181"/>
      <c r="X18" s="181"/>
      <c r="Y18" s="182"/>
      <c r="Z18" s="132"/>
    </row>
    <row r="19" spans="1:26" s="132" customFormat="1" ht="36" customHeight="1"/>
    <row r="20" spans="1:26" ht="6" customHeight="1">
      <c r="A20" s="129"/>
      <c r="B20" s="130"/>
      <c r="C20" s="130"/>
      <c r="D20" s="130"/>
      <c r="E20" s="130"/>
      <c r="F20" s="130"/>
      <c r="G20" s="130"/>
      <c r="H20" s="130"/>
      <c r="I20" s="130"/>
      <c r="J20" s="130"/>
      <c r="K20" s="130"/>
      <c r="L20" s="131"/>
      <c r="N20" s="129"/>
      <c r="O20" s="130"/>
      <c r="P20" s="130"/>
      <c r="Q20" s="130"/>
      <c r="R20" s="130"/>
      <c r="S20" s="130"/>
      <c r="T20" s="130"/>
      <c r="U20" s="130"/>
      <c r="V20" s="130"/>
      <c r="W20" s="130"/>
      <c r="X20" s="130"/>
      <c r="Y20" s="131"/>
      <c r="Z20" s="132"/>
    </row>
    <row r="21" spans="1:26" s="139" customFormat="1" ht="12" customHeight="1">
      <c r="A21" s="134"/>
      <c r="B21" s="135" t="s">
        <v>55</v>
      </c>
      <c r="C21" s="136"/>
      <c r="D21" s="136"/>
      <c r="E21" s="136"/>
      <c r="F21" s="136"/>
      <c r="G21" s="136"/>
      <c r="H21" s="136"/>
      <c r="I21" s="136"/>
      <c r="J21" s="136"/>
      <c r="K21" s="137" t="s">
        <v>56</v>
      </c>
      <c r="L21" s="138"/>
      <c r="M21" s="136"/>
      <c r="N21" s="134"/>
      <c r="O21" s="135" t="s">
        <v>55</v>
      </c>
      <c r="P21" s="136"/>
      <c r="Q21" s="136"/>
      <c r="R21" s="136"/>
      <c r="S21" s="136"/>
      <c r="T21" s="136"/>
      <c r="U21" s="136"/>
      <c r="V21" s="136"/>
      <c r="W21" s="136"/>
      <c r="X21" s="137" t="s">
        <v>56</v>
      </c>
      <c r="Y21" s="138"/>
      <c r="Z21" s="136"/>
    </row>
    <row r="22" spans="1:26" ht="18" customHeight="1">
      <c r="A22" s="140"/>
      <c r="B22" s="307" t="str">
        <f>AB3</f>
        <v>Mieszana</v>
      </c>
      <c r="C22" s="307"/>
      <c r="D22" s="308" t="s">
        <v>57</v>
      </c>
      <c r="E22" s="308"/>
      <c r="F22" s="308"/>
      <c r="G22" s="308"/>
      <c r="H22" s="308"/>
      <c r="I22" s="308"/>
      <c r="J22" s="311" t="str">
        <f>VLOOKUP(AB8,turniej!P6:U62,6,FALSE)</f>
        <v xml:space="preserve"> </v>
      </c>
      <c r="K22" s="311"/>
      <c r="L22" s="141"/>
      <c r="M22" s="142"/>
      <c r="N22" s="143"/>
      <c r="O22" s="307" t="str">
        <f>AB3</f>
        <v>Mieszana</v>
      </c>
      <c r="P22" s="307"/>
      <c r="Q22" s="308" t="s">
        <v>57</v>
      </c>
      <c r="R22" s="308"/>
      <c r="S22" s="308"/>
      <c r="T22" s="308"/>
      <c r="U22" s="308"/>
      <c r="V22" s="308"/>
      <c r="W22" s="309" t="str">
        <f>VLOOKUP(AB9,turniej!P6:U62,6,FALSE)</f>
        <v xml:space="preserve"> </v>
      </c>
      <c r="X22" s="309"/>
      <c r="Y22" s="169"/>
      <c r="Z22" s="132"/>
    </row>
    <row r="23" spans="1:26" ht="10.5" customHeight="1">
      <c r="A23" s="140"/>
      <c r="B23" s="142"/>
      <c r="C23" s="142"/>
      <c r="D23" s="308"/>
      <c r="E23" s="308"/>
      <c r="F23" s="308"/>
      <c r="G23" s="308"/>
      <c r="H23" s="308"/>
      <c r="I23" s="308"/>
      <c r="J23" s="142"/>
      <c r="K23" s="142"/>
      <c r="L23" s="141"/>
      <c r="M23" s="142"/>
      <c r="N23" s="143"/>
      <c r="O23" s="142"/>
      <c r="P23" s="142"/>
      <c r="Q23" s="308"/>
      <c r="R23" s="308"/>
      <c r="S23" s="308"/>
      <c r="T23" s="308"/>
      <c r="U23" s="308"/>
      <c r="V23" s="308"/>
      <c r="W23" s="142"/>
      <c r="X23" s="142"/>
      <c r="Y23" s="169"/>
      <c r="Z23" s="132"/>
    </row>
    <row r="24" spans="1:26" ht="6" customHeight="1" thickBot="1">
      <c r="A24" s="140"/>
      <c r="B24" s="142"/>
      <c r="C24" s="142"/>
      <c r="D24" s="146"/>
      <c r="E24" s="146"/>
      <c r="F24" s="146"/>
      <c r="G24" s="146"/>
      <c r="H24" s="146"/>
      <c r="I24" s="146"/>
      <c r="J24" s="142"/>
      <c r="K24" s="142"/>
      <c r="L24" s="141"/>
      <c r="M24" s="142"/>
      <c r="N24" s="143"/>
      <c r="O24" s="142"/>
      <c r="P24" s="142"/>
      <c r="Q24" s="146"/>
      <c r="R24" s="146"/>
      <c r="S24" s="146"/>
      <c r="T24" s="146"/>
      <c r="U24" s="146"/>
      <c r="V24" s="146"/>
      <c r="W24" s="142"/>
      <c r="X24" s="142"/>
      <c r="Y24" s="169"/>
      <c r="Z24" s="132"/>
    </row>
    <row r="25" spans="1:26" s="152" customFormat="1" ht="23.25" customHeight="1">
      <c r="A25" s="147"/>
      <c r="B25" s="211" t="str">
        <f>VLOOKUP(C25,lista!$D$8:$S$23,15,FALSE)</f>
        <v>-</v>
      </c>
      <c r="C25" s="305" t="str">
        <f>VLOOKUP(AB8,turniej!$P$6:$U$184,2,FALSE)</f>
        <v>KASPRZAK Natalia</v>
      </c>
      <c r="D25" s="305"/>
      <c r="E25" s="306"/>
      <c r="F25" s="148"/>
      <c r="G25" s="148"/>
      <c r="H25" s="211" t="str">
        <f>VLOOKUP(I25,lista!$D$8:$S$23,15,FALSE)</f>
        <v>-</v>
      </c>
      <c r="I25" s="305" t="str">
        <f>VLOOKUP(AB8,turniej!$P$6:$U$184,4,FALSE)</f>
        <v>BALCERZAK Aneta</v>
      </c>
      <c r="J25" s="305"/>
      <c r="K25" s="306"/>
      <c r="L25" s="149"/>
      <c r="M25" s="163"/>
      <c r="N25" s="147"/>
      <c r="O25" s="211" t="str">
        <f>VLOOKUP(P25,lista!$D$8:$S$23,15,FALSE)</f>
        <v>-</v>
      </c>
      <c r="P25" s="305" t="str">
        <f>VLOOKUP(AB9,turniej!$P$6:$U$184,2,FALSE)</f>
        <v>PRYSTUPA Marta</v>
      </c>
      <c r="Q25" s="305"/>
      <c r="R25" s="306"/>
      <c r="S25" s="148"/>
      <c r="T25" s="148"/>
      <c r="U25" s="211" t="str">
        <f>VLOOKUP(V25,lista!$D$8:$S$23,15,FALSE)</f>
        <v>-</v>
      </c>
      <c r="V25" s="305" t="str">
        <f>VLOOKUP(AB9,turniej!$P$6:$U$184,4,FALSE)</f>
        <v>STOMA-SZARKOWICZ Magdalena</v>
      </c>
      <c r="W25" s="305"/>
      <c r="X25" s="306"/>
      <c r="Y25" s="149"/>
      <c r="Z25" s="148"/>
    </row>
    <row r="26" spans="1:26" s="162" customFormat="1" ht="12" customHeight="1" thickBot="1">
      <c r="A26" s="183"/>
      <c r="B26" s="195" t="s">
        <v>58</v>
      </c>
      <c r="C26" s="157"/>
      <c r="D26" s="157"/>
      <c r="E26" s="196"/>
      <c r="F26" s="157"/>
      <c r="G26" s="157"/>
      <c r="H26" s="195" t="s">
        <v>58</v>
      </c>
      <c r="I26" s="157"/>
      <c r="J26" s="157"/>
      <c r="K26" s="196"/>
      <c r="L26" s="158"/>
      <c r="M26" s="157"/>
      <c r="N26" s="159"/>
      <c r="O26" s="195" t="s">
        <v>58</v>
      </c>
      <c r="P26" s="157"/>
      <c r="Q26" s="157"/>
      <c r="R26" s="196"/>
      <c r="S26" s="157"/>
      <c r="T26" s="157"/>
      <c r="U26" s="195" t="s">
        <v>58</v>
      </c>
      <c r="V26" s="157"/>
      <c r="W26" s="157"/>
      <c r="X26" s="196"/>
      <c r="Y26" s="167"/>
    </row>
    <row r="27" spans="1:26" ht="10.5" customHeight="1">
      <c r="A27" s="140"/>
      <c r="B27" s="299" t="str">
        <f>VLOOKUP(C27,lista!$J$8:$S$23,10,FALSE)</f>
        <v>-</v>
      </c>
      <c r="C27" s="301" t="str">
        <f>VLOOKUP(AB8,turniej!$P$6:$U$184,3,FALSE)</f>
        <v>PAWŁOWSKI Stanisław</v>
      </c>
      <c r="D27" s="301"/>
      <c r="E27" s="302"/>
      <c r="F27" s="142"/>
      <c r="G27" s="142"/>
      <c r="H27" s="299" t="str">
        <f>VLOOKUP(I27,lista!$J$8:$S$23,10,FALSE)</f>
        <v>-</v>
      </c>
      <c r="I27" s="301" t="str">
        <f>VLOOKUP(AB8,turniej!$P$6:$U$184,5,FALSE)</f>
        <v>PIECHNIK Henryk</v>
      </c>
      <c r="J27" s="301"/>
      <c r="K27" s="302"/>
      <c r="L27" s="141"/>
      <c r="M27" s="142"/>
      <c r="N27" s="143"/>
      <c r="O27" s="299" t="str">
        <f>VLOOKUP(P27,lista!$J$8:$S$23,10,FALSE)</f>
        <v>-</v>
      </c>
      <c r="P27" s="301" t="str">
        <f>VLOOKUP(AB9,turniej!$P$6:$U$184,3,FALSE)</f>
        <v>NAWOJCZYK Rafał</v>
      </c>
      <c r="Q27" s="301"/>
      <c r="R27" s="302"/>
      <c r="S27" s="142"/>
      <c r="T27" s="142"/>
      <c r="U27" s="299" t="str">
        <f>VLOOKUP(V27,lista!$J$8:$S$23,10,FALSE)</f>
        <v>-</v>
      </c>
      <c r="V27" s="301" t="str">
        <f>VLOOKUP(AB9,turniej!$P$6:$U$184,5,FALSE)</f>
        <v>PAŁĘGA Józef</v>
      </c>
      <c r="W27" s="301"/>
      <c r="X27" s="302"/>
      <c r="Y27" s="169"/>
      <c r="Z27" s="132"/>
    </row>
    <row r="28" spans="1:26" s="152" customFormat="1" ht="18" customHeight="1" thickBot="1">
      <c r="A28" s="147"/>
      <c r="B28" s="300"/>
      <c r="C28" s="303"/>
      <c r="D28" s="303"/>
      <c r="E28" s="304"/>
      <c r="F28" s="163"/>
      <c r="G28" s="163"/>
      <c r="H28" s="300"/>
      <c r="I28" s="303"/>
      <c r="J28" s="303"/>
      <c r="K28" s="304"/>
      <c r="L28" s="164"/>
      <c r="M28" s="163"/>
      <c r="N28" s="165"/>
      <c r="O28" s="300"/>
      <c r="P28" s="303"/>
      <c r="Q28" s="303"/>
      <c r="R28" s="304"/>
      <c r="S28" s="163"/>
      <c r="T28" s="163"/>
      <c r="U28" s="300"/>
      <c r="V28" s="303"/>
      <c r="W28" s="303"/>
      <c r="X28" s="304"/>
      <c r="Y28" s="184"/>
      <c r="Z28" s="228"/>
    </row>
    <row r="29" spans="1:26" s="162" customFormat="1" ht="12" customHeight="1" thickBot="1">
      <c r="A29" s="153"/>
      <c r="B29" s="154" t="s">
        <v>58</v>
      </c>
      <c r="C29" s="155"/>
      <c r="D29" s="155"/>
      <c r="E29" s="156"/>
      <c r="H29" s="154" t="s">
        <v>58</v>
      </c>
      <c r="I29" s="155"/>
      <c r="J29" s="155"/>
      <c r="K29" s="156"/>
      <c r="L29" s="167"/>
      <c r="N29" s="153"/>
      <c r="O29" s="154" t="s">
        <v>58</v>
      </c>
      <c r="P29" s="155"/>
      <c r="Q29" s="155"/>
      <c r="R29" s="156"/>
      <c r="U29" s="154" t="s">
        <v>58</v>
      </c>
      <c r="V29" s="155"/>
      <c r="W29" s="155"/>
      <c r="X29" s="156"/>
      <c r="Y29" s="167"/>
    </row>
    <row r="30" spans="1:26" ht="12" customHeight="1">
      <c r="A30" s="140"/>
      <c r="B30" s="132"/>
      <c r="C30" s="132"/>
      <c r="D30" s="132"/>
      <c r="E30" s="132"/>
      <c r="F30" s="132"/>
      <c r="G30" s="132"/>
      <c r="H30" s="132"/>
      <c r="I30" s="132"/>
      <c r="J30" s="132"/>
      <c r="K30" s="132"/>
      <c r="L30" s="169"/>
      <c r="N30" s="140"/>
      <c r="O30" s="132"/>
      <c r="P30" s="132"/>
      <c r="Q30" s="132"/>
      <c r="R30" s="132"/>
      <c r="S30" s="132"/>
      <c r="T30" s="132"/>
      <c r="U30" s="132"/>
      <c r="V30" s="132"/>
      <c r="W30" s="132"/>
      <c r="X30" s="132"/>
      <c r="Y30" s="169"/>
      <c r="Z30" s="132"/>
    </row>
    <row r="31" spans="1:26" ht="12" customHeight="1">
      <c r="A31" s="140"/>
      <c r="C31" s="205" t="s">
        <v>59</v>
      </c>
      <c r="D31" s="206" t="s">
        <v>60</v>
      </c>
      <c r="E31" s="298" t="s">
        <v>61</v>
      </c>
      <c r="F31" s="298"/>
      <c r="G31" s="298" t="s">
        <v>62</v>
      </c>
      <c r="H31" s="298"/>
      <c r="I31" s="207" t="s">
        <v>63</v>
      </c>
      <c r="J31" s="205" t="s">
        <v>64</v>
      </c>
      <c r="L31" s="169"/>
      <c r="N31" s="140"/>
      <c r="P31" s="205" t="s">
        <v>59</v>
      </c>
      <c r="Q31" s="206" t="s">
        <v>60</v>
      </c>
      <c r="R31" s="298" t="s">
        <v>61</v>
      </c>
      <c r="S31" s="298"/>
      <c r="T31" s="298" t="s">
        <v>62</v>
      </c>
      <c r="U31" s="298"/>
      <c r="V31" s="207" t="s">
        <v>63</v>
      </c>
      <c r="W31" s="205" t="s">
        <v>64</v>
      </c>
      <c r="Y31" s="169"/>
      <c r="Z31" s="132"/>
    </row>
    <row r="32" spans="1:26" ht="36" customHeight="1">
      <c r="A32" s="140"/>
      <c r="C32" s="208"/>
      <c r="D32" s="178"/>
      <c r="E32" s="178"/>
      <c r="F32" s="209"/>
      <c r="G32" s="210"/>
      <c r="H32" s="210"/>
      <c r="I32" s="208"/>
      <c r="J32" s="208"/>
      <c r="L32" s="169"/>
      <c r="N32" s="140"/>
      <c r="P32" s="208"/>
      <c r="Q32" s="178"/>
      <c r="R32" s="178"/>
      <c r="S32" s="209"/>
      <c r="T32" s="210"/>
      <c r="U32" s="210"/>
      <c r="V32" s="208"/>
      <c r="W32" s="208"/>
      <c r="Y32" s="169"/>
      <c r="Z32" s="132"/>
    </row>
    <row r="33" spans="1:26" ht="21" customHeight="1" thickBot="1">
      <c r="A33" s="140"/>
      <c r="B33" s="135" t="s">
        <v>65</v>
      </c>
      <c r="C33" s="132"/>
      <c r="D33" s="132"/>
      <c r="E33" s="132"/>
      <c r="F33" s="132"/>
      <c r="G33" s="132"/>
      <c r="H33" s="132"/>
      <c r="I33" s="132"/>
      <c r="J33" s="132"/>
      <c r="K33" s="137" t="s">
        <v>66</v>
      </c>
      <c r="L33" s="169"/>
      <c r="N33" s="140"/>
      <c r="O33" s="135" t="s">
        <v>65</v>
      </c>
      <c r="P33" s="132"/>
      <c r="Q33" s="132"/>
      <c r="R33" s="132"/>
      <c r="S33" s="132"/>
      <c r="T33" s="132"/>
      <c r="U33" s="132"/>
      <c r="V33" s="132"/>
      <c r="W33" s="132"/>
      <c r="X33" s="137" t="s">
        <v>66</v>
      </c>
      <c r="Y33" s="169"/>
      <c r="Z33" s="132"/>
    </row>
    <row r="34" spans="1:26" ht="23.25" customHeight="1" thickBot="1">
      <c r="A34" s="140"/>
      <c r="B34" s="310"/>
      <c r="C34" s="310"/>
      <c r="D34" s="310"/>
      <c r="E34" s="310"/>
      <c r="F34" s="310"/>
      <c r="G34" s="310"/>
      <c r="H34" s="310"/>
      <c r="I34" s="310"/>
      <c r="J34" s="132"/>
      <c r="K34" s="172"/>
      <c r="L34" s="169"/>
      <c r="N34" s="140"/>
      <c r="O34" s="310"/>
      <c r="P34" s="310"/>
      <c r="Q34" s="310"/>
      <c r="R34" s="310"/>
      <c r="S34" s="310"/>
      <c r="T34" s="310"/>
      <c r="U34" s="310"/>
      <c r="V34" s="310"/>
      <c r="W34" s="132"/>
      <c r="X34" s="172"/>
      <c r="Y34" s="169"/>
      <c r="Z34" s="132"/>
    </row>
    <row r="35" spans="1:26" ht="9" customHeight="1">
      <c r="A35" s="140"/>
      <c r="C35" s="173"/>
      <c r="D35" s="173"/>
      <c r="F35" s="173"/>
      <c r="G35" s="173"/>
      <c r="H35" s="173"/>
      <c r="I35" s="173"/>
      <c r="J35" s="132"/>
      <c r="L35" s="169"/>
      <c r="N35" s="140"/>
      <c r="P35" s="173"/>
      <c r="Q35" s="173"/>
      <c r="S35" s="173"/>
      <c r="T35" s="173"/>
      <c r="U35" s="173"/>
      <c r="V35" s="173"/>
      <c r="W35" s="132"/>
      <c r="Y35" s="169"/>
      <c r="Z35" s="132"/>
    </row>
    <row r="36" spans="1:26" ht="24" customHeight="1">
      <c r="A36" s="140"/>
      <c r="B36" s="174" t="s">
        <v>67</v>
      </c>
      <c r="C36" s="175"/>
      <c r="D36" s="173"/>
      <c r="E36" s="176" t="s">
        <v>68</v>
      </c>
      <c r="F36" s="177"/>
      <c r="G36" s="177"/>
      <c r="H36" s="175"/>
      <c r="I36" s="173"/>
      <c r="J36" s="178"/>
      <c r="K36" s="179" t="s">
        <v>67</v>
      </c>
      <c r="L36" s="169"/>
      <c r="N36" s="140"/>
      <c r="O36" s="174" t="s">
        <v>67</v>
      </c>
      <c r="P36" s="175"/>
      <c r="Q36" s="173"/>
      <c r="R36" s="176" t="s">
        <v>68</v>
      </c>
      <c r="S36" s="177"/>
      <c r="T36" s="177"/>
      <c r="U36" s="175"/>
      <c r="V36" s="173"/>
      <c r="W36" s="178"/>
      <c r="X36" s="179" t="s">
        <v>67</v>
      </c>
      <c r="Y36" s="169"/>
      <c r="Z36" s="132"/>
    </row>
    <row r="37" spans="1:26" ht="6" customHeight="1">
      <c r="A37" s="180"/>
      <c r="B37" s="181"/>
      <c r="C37" s="181"/>
      <c r="D37" s="181"/>
      <c r="E37" s="181"/>
      <c r="F37" s="181"/>
      <c r="G37" s="181"/>
      <c r="H37" s="181"/>
      <c r="I37" s="181"/>
      <c r="J37" s="181"/>
      <c r="K37" s="181"/>
      <c r="L37" s="182"/>
      <c r="N37" s="180"/>
      <c r="O37" s="181"/>
      <c r="P37" s="181"/>
      <c r="Q37" s="181"/>
      <c r="R37" s="181"/>
      <c r="S37" s="181"/>
      <c r="T37" s="181"/>
      <c r="U37" s="181"/>
      <c r="V37" s="181"/>
      <c r="W37" s="181"/>
      <c r="X37" s="181"/>
      <c r="Y37" s="182"/>
      <c r="Z37" s="132"/>
    </row>
  </sheetData>
  <sheetProtection password="CBEB" sheet="1" formatCells="0" formatColumns="0" formatRows="0" insertColumns="0" insertRows="0"/>
  <mergeCells count="48">
    <mergeCell ref="E31:F31"/>
    <mergeCell ref="G31:H31"/>
    <mergeCell ref="R31:S31"/>
    <mergeCell ref="T31:U31"/>
    <mergeCell ref="B34:I34"/>
    <mergeCell ref="O34:V34"/>
    <mergeCell ref="W3:X3"/>
    <mergeCell ref="R12:S12"/>
    <mergeCell ref="T12:U12"/>
    <mergeCell ref="W22:X22"/>
    <mergeCell ref="B15:I15"/>
    <mergeCell ref="O15:V15"/>
    <mergeCell ref="B22:C22"/>
    <mergeCell ref="D22:I23"/>
    <mergeCell ref="J22:K22"/>
    <mergeCell ref="B3:C3"/>
    <mergeCell ref="D3:I4"/>
    <mergeCell ref="J3:K3"/>
    <mergeCell ref="O3:P3"/>
    <mergeCell ref="Q3:V4"/>
    <mergeCell ref="C6:E6"/>
    <mergeCell ref="I6:K6"/>
    <mergeCell ref="P6:R6"/>
    <mergeCell ref="V6:X6"/>
    <mergeCell ref="B8:B9"/>
    <mergeCell ref="C8:E9"/>
    <mergeCell ref="H8:H9"/>
    <mergeCell ref="I8:K9"/>
    <mergeCell ref="O8:O9"/>
    <mergeCell ref="P8:R9"/>
    <mergeCell ref="U8:U9"/>
    <mergeCell ref="V8:X9"/>
    <mergeCell ref="E12:F12"/>
    <mergeCell ref="G12:H12"/>
    <mergeCell ref="U27:U28"/>
    <mergeCell ref="V27:X28"/>
    <mergeCell ref="B27:B28"/>
    <mergeCell ref="C27:E28"/>
    <mergeCell ref="H27:H28"/>
    <mergeCell ref="I27:K28"/>
    <mergeCell ref="O27:O28"/>
    <mergeCell ref="P27:R28"/>
    <mergeCell ref="C25:E25"/>
    <mergeCell ref="I25:K25"/>
    <mergeCell ref="P25:R25"/>
    <mergeCell ref="V25:X25"/>
    <mergeCell ref="O22:P22"/>
    <mergeCell ref="Q22:V23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paperSize="9" firstPageNumber="0" orientation="landscape" blackAndWhite="1" errors="blank" r:id="rId1"/>
  <headerFooter alignWithMargins="0"/>
  <colBreaks count="1" manualBreakCount="1">
    <brk id="1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5</vt:i4>
      </vt:variant>
    </vt:vector>
  </HeadingPairs>
  <TitlesOfParts>
    <vt:vector size="10" baseType="lpstr">
      <vt:lpstr>info</vt:lpstr>
      <vt:lpstr>lista</vt:lpstr>
      <vt:lpstr>turniej</vt:lpstr>
      <vt:lpstr>klasyfikacja</vt:lpstr>
      <vt:lpstr>protokol</vt:lpstr>
      <vt:lpstr>info!Obszar_wydruku</vt:lpstr>
      <vt:lpstr>klasyfikacja!Obszar_wydruku</vt:lpstr>
      <vt:lpstr>lista!Obszar_wydruku</vt:lpstr>
      <vt:lpstr>protokol!Obszar_wydruku</vt:lpstr>
      <vt:lpstr>turniej!Obszar_wydruku</vt:lpstr>
    </vt:vector>
  </TitlesOfParts>
  <Company>Agamar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wormar</dc:creator>
  <cp:lastModifiedBy>mlody</cp:lastModifiedBy>
  <cp:lastPrinted>2022-04-23T12:03:09Z</cp:lastPrinted>
  <dcterms:created xsi:type="dcterms:W3CDTF">2010-11-12T23:06:18Z</dcterms:created>
  <dcterms:modified xsi:type="dcterms:W3CDTF">2022-04-23T14:13:43Z</dcterms:modified>
</cp:coreProperties>
</file>