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675" windowWidth="8190" windowHeight="9825" tabRatio="859" activeTab="2"/>
  </bookViews>
  <sheets>
    <sheet name="info" sheetId="29" r:id="rId1"/>
    <sheet name="lista" sheetId="34" r:id="rId2"/>
    <sheet name="turniej" sheetId="35" r:id="rId3"/>
    <sheet name="protokol" sheetId="42" r:id="rId4"/>
    <sheet name="klasyfikacja" sheetId="44" r:id="rId5"/>
    <sheet name="DYPLOMY" sheetId="45" r:id="rId6"/>
  </sheets>
  <definedNames>
    <definedName name="_xlnm.Print_Area" localSheetId="5">DYPLOMY!$A$1:$C$27</definedName>
    <definedName name="_xlnm.Print_Area" localSheetId="0">info!$A$1:$H$17</definedName>
    <definedName name="_xlnm.Print_Area" localSheetId="4">klasyfikacja!$A$1:$I$45</definedName>
    <definedName name="_xlnm.Print_Area" localSheetId="1">lista!$A$1:$P$42</definedName>
    <definedName name="_xlnm.Print_Area" localSheetId="3">protokol!$A$1:$Y$37</definedName>
    <definedName name="_xlnm.Print_Area" localSheetId="2">turniej!$A$1:$M$122</definedName>
  </definedNames>
  <calcPr calcId="124519"/>
</workbook>
</file>

<file path=xl/calcChain.xml><?xml version="1.0" encoding="utf-8"?>
<calcChain xmlns="http://schemas.openxmlformats.org/spreadsheetml/2006/main">
  <c r="O24" i="34"/>
  <c r="O14"/>
  <c r="O8"/>
  <c r="O9"/>
  <c r="O19"/>
  <c r="O15"/>
  <c r="O20"/>
  <c r="O16"/>
  <c r="O10"/>
  <c r="O17"/>
  <c r="O11"/>
  <c r="O22"/>
  <c r="O18"/>
  <c r="O21"/>
  <c r="O12"/>
  <c r="O13"/>
  <c r="O23"/>
  <c r="G2" i="45" l="1"/>
  <c r="F2" s="1"/>
  <c r="F5"/>
  <c r="F1" l="1"/>
  <c r="B19" s="1"/>
  <c r="A3" i="34" l="1"/>
  <c r="A44" i="44"/>
  <c r="I44"/>
  <c r="A3"/>
  <c r="W22" i="42"/>
  <c r="J22"/>
  <c r="W3"/>
  <c r="J3"/>
  <c r="C114" i="35"/>
  <c r="F112" s="1"/>
  <c r="T90" s="1"/>
  <c r="C111"/>
  <c r="R74" s="1"/>
  <c r="C108"/>
  <c r="T73" s="1"/>
  <c r="C105"/>
  <c r="F106" s="1"/>
  <c r="R90" s="1"/>
  <c r="C102"/>
  <c r="T72" s="1"/>
  <c r="C99"/>
  <c r="R72" s="1"/>
  <c r="C96"/>
  <c r="T71" s="1"/>
  <c r="C93"/>
  <c r="R71" s="1"/>
  <c r="C90"/>
  <c r="T70" s="1"/>
  <c r="C87"/>
  <c r="G35" i="44" s="1"/>
  <c r="H35" s="1"/>
  <c r="C84" i="35"/>
  <c r="T69" s="1"/>
  <c r="C81"/>
  <c r="F82" s="1"/>
  <c r="C78"/>
  <c r="T68" s="1"/>
  <c r="C75"/>
  <c r="R68" s="1"/>
  <c r="C72"/>
  <c r="T67" s="1"/>
  <c r="C69"/>
  <c r="R67" s="1"/>
  <c r="C53"/>
  <c r="T13" s="1"/>
  <c r="C50"/>
  <c r="G31" i="44" s="1"/>
  <c r="C47" i="35"/>
  <c r="T12" s="1"/>
  <c r="C44"/>
  <c r="R12" s="1"/>
  <c r="C41"/>
  <c r="T11" s="1"/>
  <c r="C38"/>
  <c r="R11" s="1"/>
  <c r="C35"/>
  <c r="T10" s="1"/>
  <c r="C32"/>
  <c r="R10" s="1"/>
  <c r="C29"/>
  <c r="T9" s="1"/>
  <c r="V27" i="42" s="1"/>
  <c r="U27" s="1"/>
  <c r="C26" i="35"/>
  <c r="R9" s="1"/>
  <c r="P27" i="42" s="1"/>
  <c r="O27" s="1"/>
  <c r="C23" i="35"/>
  <c r="T8" s="1"/>
  <c r="I27" i="42" s="1"/>
  <c r="H27" s="1"/>
  <c r="C20" i="35"/>
  <c r="R8" s="1"/>
  <c r="C27" i="42" s="1"/>
  <c r="C17" i="35"/>
  <c r="T7" s="1"/>
  <c r="V8" i="42" s="1"/>
  <c r="C14" i="35"/>
  <c r="R7" s="1"/>
  <c r="P8" i="42" s="1"/>
  <c r="C11" i="35"/>
  <c r="G24" i="44" s="1"/>
  <c r="C8" i="35"/>
  <c r="R6" s="1"/>
  <c r="A64"/>
  <c r="A3"/>
  <c r="M61"/>
  <c r="A61"/>
  <c r="A122"/>
  <c r="M122"/>
  <c r="A41" i="34"/>
  <c r="P41"/>
  <c r="D9" i="29"/>
  <c r="D8"/>
  <c r="D7"/>
  <c r="D5"/>
  <c r="C113" i="35"/>
  <c r="S74" s="1"/>
  <c r="C110"/>
  <c r="D39" i="44" s="1"/>
  <c r="C107" i="35"/>
  <c r="S73" s="1"/>
  <c r="C104"/>
  <c r="Q73" s="1"/>
  <c r="C101"/>
  <c r="S72" s="1"/>
  <c r="C98"/>
  <c r="Q72" s="1"/>
  <c r="C95"/>
  <c r="S71" s="1"/>
  <c r="C92"/>
  <c r="Q71" s="1"/>
  <c r="C89"/>
  <c r="F87" s="1"/>
  <c r="C86"/>
  <c r="Q70" s="1"/>
  <c r="C83"/>
  <c r="S69" s="1"/>
  <c r="C80"/>
  <c r="Q69" s="1"/>
  <c r="C77"/>
  <c r="S68" s="1"/>
  <c r="C74"/>
  <c r="F75" s="1"/>
  <c r="C71"/>
  <c r="D32" i="44" s="1"/>
  <c r="C68" i="35"/>
  <c r="Q67" s="1"/>
  <c r="C52"/>
  <c r="F50" s="1"/>
  <c r="S29" s="1"/>
  <c r="C49"/>
  <c r="D31" i="44" s="1"/>
  <c r="E31" s="1"/>
  <c r="C46" i="35"/>
  <c r="S12" s="1"/>
  <c r="C43"/>
  <c r="Q12" s="1"/>
  <c r="C40"/>
  <c r="D29" i="44" s="1"/>
  <c r="C37" i="35"/>
  <c r="Q11" s="1"/>
  <c r="C34"/>
  <c r="D28" i="44" s="1"/>
  <c r="C31" i="35"/>
  <c r="Q10" s="1"/>
  <c r="C28"/>
  <c r="S9" s="1"/>
  <c r="V25" i="42" s="1"/>
  <c r="U25" s="1"/>
  <c r="C25" i="35"/>
  <c r="Q9" s="1"/>
  <c r="P25" i="42" s="1"/>
  <c r="O25" s="1"/>
  <c r="C22" i="35"/>
  <c r="S8" s="1"/>
  <c r="I25" i="42" s="1"/>
  <c r="H25" s="1"/>
  <c r="C19" i="35"/>
  <c r="F20" s="1"/>
  <c r="Q27" s="1"/>
  <c r="C16"/>
  <c r="S7" s="1"/>
  <c r="V6" i="42" s="1"/>
  <c r="U6" s="1"/>
  <c r="C13" i="35"/>
  <c r="Q7" s="1"/>
  <c r="P6" i="42" s="1"/>
  <c r="O6" s="1"/>
  <c r="C10" i="35"/>
  <c r="D24" i="44" s="1"/>
  <c r="E24" s="1"/>
  <c r="C7" i="35"/>
  <c r="F8" s="1"/>
  <c r="S39" i="34"/>
  <c r="R39"/>
  <c r="S38"/>
  <c r="R38"/>
  <c r="B1" i="44"/>
  <c r="O22" i="42"/>
  <c r="C1" i="35"/>
  <c r="C62"/>
  <c r="B1" i="34"/>
  <c r="R8"/>
  <c r="S8"/>
  <c r="R9"/>
  <c r="S9"/>
  <c r="R10"/>
  <c r="S10"/>
  <c r="R11"/>
  <c r="S11"/>
  <c r="R12"/>
  <c r="S12"/>
  <c r="R13"/>
  <c r="S13"/>
  <c r="R14"/>
  <c r="S14"/>
  <c r="R15"/>
  <c r="S15"/>
  <c r="R16"/>
  <c r="S16"/>
  <c r="R17"/>
  <c r="S17"/>
  <c r="R18"/>
  <c r="S18"/>
  <c r="R19"/>
  <c r="S19"/>
  <c r="R20"/>
  <c r="S20"/>
  <c r="R21"/>
  <c r="S21"/>
  <c r="R22"/>
  <c r="S22"/>
  <c r="R23"/>
  <c r="S23"/>
  <c r="R24"/>
  <c r="S24"/>
  <c r="R25"/>
  <c r="S25"/>
  <c r="R26"/>
  <c r="S26"/>
  <c r="R27"/>
  <c r="S27"/>
  <c r="R28"/>
  <c r="S28"/>
  <c r="R29"/>
  <c r="S29"/>
  <c r="R30"/>
  <c r="S30"/>
  <c r="R31"/>
  <c r="S31"/>
  <c r="R32"/>
  <c r="S32"/>
  <c r="R33"/>
  <c r="S33"/>
  <c r="R34"/>
  <c r="S34"/>
  <c r="R35"/>
  <c r="S35"/>
  <c r="R36"/>
  <c r="S36"/>
  <c r="R37"/>
  <c r="S37"/>
  <c r="O3" i="42"/>
  <c r="B22"/>
  <c r="B3"/>
  <c r="G25" i="44"/>
  <c r="H25" s="1"/>
  <c r="F24" l="1"/>
  <c r="G29"/>
  <c r="H29" s="1"/>
  <c r="G26"/>
  <c r="H26" s="1"/>
  <c r="F94" i="35"/>
  <c r="R89" s="1"/>
  <c r="F99"/>
  <c r="S89" s="1"/>
  <c r="F44"/>
  <c r="Q29" s="1"/>
  <c r="F81"/>
  <c r="I85" s="1"/>
  <c r="D14" i="44" s="1"/>
  <c r="E14" s="1"/>
  <c r="G39"/>
  <c r="F39" s="1"/>
  <c r="R70" i="35"/>
  <c r="G27" i="44"/>
  <c r="H27" s="1"/>
  <c r="G37"/>
  <c r="H37" s="1"/>
  <c r="F93" i="35"/>
  <c r="Q89" s="1"/>
  <c r="D30" i="44"/>
  <c r="C30" s="1"/>
  <c r="R69" i="35"/>
  <c r="D33" i="44"/>
  <c r="C33" s="1"/>
  <c r="G38"/>
  <c r="F38" s="1"/>
  <c r="D35"/>
  <c r="E35" s="1"/>
  <c r="D19"/>
  <c r="C19" s="1"/>
  <c r="S13" i="35"/>
  <c r="S10"/>
  <c r="S6"/>
  <c r="D36" i="44"/>
  <c r="E36" s="1"/>
  <c r="D25"/>
  <c r="E25" s="1"/>
  <c r="F51" i="35"/>
  <c r="T29" s="1"/>
  <c r="Q26"/>
  <c r="I12"/>
  <c r="S88"/>
  <c r="D21" i="44"/>
  <c r="E21" s="1"/>
  <c r="Q6" i="35"/>
  <c r="F111"/>
  <c r="S90" s="1"/>
  <c r="S70"/>
  <c r="Q13"/>
  <c r="F70"/>
  <c r="R87" s="1"/>
  <c r="F69"/>
  <c r="G30" i="44"/>
  <c r="T6" i="35"/>
  <c r="G28" i="44"/>
  <c r="F28" s="1"/>
  <c r="G32"/>
  <c r="H32" s="1"/>
  <c r="E29"/>
  <c r="C29"/>
  <c r="Q8" i="35"/>
  <c r="C25" i="42" s="1"/>
  <c r="B25" s="1"/>
  <c r="F15" i="35"/>
  <c r="R13"/>
  <c r="F21"/>
  <c r="R27" s="1"/>
  <c r="D38" i="44"/>
  <c r="E38" s="1"/>
  <c r="R73" i="35"/>
  <c r="F38"/>
  <c r="F26"/>
  <c r="S11"/>
  <c r="D37" i="44"/>
  <c r="E37" s="1"/>
  <c r="F45" i="35"/>
  <c r="R29" s="1"/>
  <c r="G36" i="44"/>
  <c r="F36" s="1"/>
  <c r="R88" i="35"/>
  <c r="I86"/>
  <c r="S87"/>
  <c r="D20" i="44"/>
  <c r="E20" s="1"/>
  <c r="F14" i="35"/>
  <c r="F105"/>
  <c r="I110"/>
  <c r="Q68"/>
  <c r="T74"/>
  <c r="G23" i="44"/>
  <c r="F23" s="1"/>
  <c r="I24" i="35"/>
  <c r="F76"/>
  <c r="G33" i="44"/>
  <c r="F33" s="1"/>
  <c r="F100" i="35"/>
  <c r="C31" i="44"/>
  <c r="F27" i="35"/>
  <c r="F35" i="44"/>
  <c r="E32"/>
  <c r="C32"/>
  <c r="F88" i="35"/>
  <c r="F33"/>
  <c r="O8" i="42"/>
  <c r="F39" i="35"/>
  <c r="S67"/>
  <c r="F9"/>
  <c r="C24" i="44"/>
  <c r="B27" i="42"/>
  <c r="Q74" i="35"/>
  <c r="D34" i="44"/>
  <c r="F31"/>
  <c r="H31"/>
  <c r="E28"/>
  <c r="C28"/>
  <c r="E39"/>
  <c r="C39"/>
  <c r="D27"/>
  <c r="F32" i="35"/>
  <c r="G34" i="44"/>
  <c r="D26"/>
  <c r="E26" s="1"/>
  <c r="U8" i="42"/>
  <c r="F25" i="44"/>
  <c r="H24"/>
  <c r="F26" l="1"/>
  <c r="F27"/>
  <c r="I74" i="35"/>
  <c r="R95" s="1"/>
  <c r="F29" i="44"/>
  <c r="D22"/>
  <c r="E22" s="1"/>
  <c r="I98" i="35"/>
  <c r="L104" s="1"/>
  <c r="I48"/>
  <c r="D13" i="44" s="1"/>
  <c r="F37"/>
  <c r="Q88" i="35"/>
  <c r="S95"/>
  <c r="H38" i="44"/>
  <c r="H39"/>
  <c r="C37"/>
  <c r="C21"/>
  <c r="E33"/>
  <c r="I97" i="35"/>
  <c r="L103" s="1"/>
  <c r="E30" i="44"/>
  <c r="E19"/>
  <c r="C35"/>
  <c r="C36"/>
  <c r="C20"/>
  <c r="F32"/>
  <c r="C38"/>
  <c r="C25"/>
  <c r="H36"/>
  <c r="G19"/>
  <c r="F19" s="1"/>
  <c r="D23"/>
  <c r="E23" s="1"/>
  <c r="H28"/>
  <c r="Q87" i="35"/>
  <c r="I73"/>
  <c r="Q34"/>
  <c r="L18"/>
  <c r="F30" i="44"/>
  <c r="H30"/>
  <c r="S28" i="35"/>
  <c r="D18" i="44"/>
  <c r="C14"/>
  <c r="I25" i="35"/>
  <c r="G12" i="44" s="1"/>
  <c r="I49" i="35"/>
  <c r="G13" i="44" s="1"/>
  <c r="S27" i="35"/>
  <c r="D17" i="44"/>
  <c r="T26" i="35"/>
  <c r="G16" i="44"/>
  <c r="T95" i="35"/>
  <c r="G14" i="44"/>
  <c r="T28" i="35"/>
  <c r="G18" i="44"/>
  <c r="T89" i="35"/>
  <c r="G22" i="44"/>
  <c r="Q90" i="35"/>
  <c r="I109"/>
  <c r="H33" i="44"/>
  <c r="T96" i="35"/>
  <c r="G15" i="44"/>
  <c r="T27" i="35"/>
  <c r="G17" i="44"/>
  <c r="S34" i="35"/>
  <c r="D12" i="44"/>
  <c r="H23"/>
  <c r="T87" i="35"/>
  <c r="G20" i="44"/>
  <c r="S26" i="35"/>
  <c r="D16" i="44"/>
  <c r="R26" i="35"/>
  <c r="I13"/>
  <c r="T88"/>
  <c r="G21" i="44"/>
  <c r="C26"/>
  <c r="Q28" i="35"/>
  <c r="I36"/>
  <c r="R28"/>
  <c r="I37"/>
  <c r="C34" i="44"/>
  <c r="E34"/>
  <c r="E27"/>
  <c r="C27"/>
  <c r="F34"/>
  <c r="H34"/>
  <c r="R96" i="35" l="1"/>
  <c r="L80"/>
  <c r="R101" s="1"/>
  <c r="C8" i="42" s="1"/>
  <c r="B8" s="1"/>
  <c r="S35" i="35"/>
  <c r="C22" i="44"/>
  <c r="Q96" i="35"/>
  <c r="C23" i="44"/>
  <c r="H19"/>
  <c r="T35" i="35"/>
  <c r="Q95"/>
  <c r="L79"/>
  <c r="Q40"/>
  <c r="L29"/>
  <c r="I55" s="1"/>
  <c r="C18" i="44"/>
  <c r="E18"/>
  <c r="T34" i="35"/>
  <c r="F16" i="44"/>
  <c r="H16"/>
  <c r="C17"/>
  <c r="E17"/>
  <c r="H18"/>
  <c r="F18"/>
  <c r="T101" i="35"/>
  <c r="I8" i="42" s="1"/>
  <c r="H8" s="1"/>
  <c r="E16" i="44"/>
  <c r="C16"/>
  <c r="E12"/>
  <c r="C12"/>
  <c r="H22"/>
  <c r="F22"/>
  <c r="F12"/>
  <c r="H12"/>
  <c r="F20"/>
  <c r="H20"/>
  <c r="F15"/>
  <c r="H15"/>
  <c r="R34" i="35"/>
  <c r="L19"/>
  <c r="F13" i="44"/>
  <c r="H13"/>
  <c r="S101" i="35"/>
  <c r="I6" i="42" s="1"/>
  <c r="H6" s="1"/>
  <c r="R35" i="35"/>
  <c r="L43"/>
  <c r="E13" i="44"/>
  <c r="C13"/>
  <c r="Q35" i="35"/>
  <c r="L42"/>
  <c r="S40" s="1"/>
  <c r="F21" i="44"/>
  <c r="H21"/>
  <c r="H17"/>
  <c r="F17"/>
  <c r="S96" i="35"/>
  <c r="D15" i="44"/>
  <c r="F14"/>
  <c r="H14"/>
  <c r="Q106" i="35" l="1"/>
  <c r="L91"/>
  <c r="I59" s="1"/>
  <c r="G9" i="44" s="1"/>
  <c r="F9" s="1"/>
  <c r="L90" i="35"/>
  <c r="I58" s="1"/>
  <c r="Q101"/>
  <c r="C6" i="42" s="1"/>
  <c r="B6" s="1"/>
  <c r="Q45" i="35"/>
  <c r="L56"/>
  <c r="D8" i="44" s="1"/>
  <c r="E11"/>
  <c r="E38" i="45"/>
  <c r="C11" i="44"/>
  <c r="D10"/>
  <c r="S106" i="35"/>
  <c r="T40"/>
  <c r="R40"/>
  <c r="L30"/>
  <c r="I56" s="1"/>
  <c r="E15" i="44"/>
  <c r="C15"/>
  <c r="T106" i="35"/>
  <c r="G10" i="44"/>
  <c r="T45" i="35" l="1"/>
  <c r="F36" i="45"/>
  <c r="H9" i="44"/>
  <c r="C8"/>
  <c r="E35" i="45"/>
  <c r="F7" s="1"/>
  <c r="F8" s="1"/>
  <c r="F9" s="1"/>
  <c r="F24" s="1"/>
  <c r="E8" i="44"/>
  <c r="S45" i="35"/>
  <c r="D9" i="44"/>
  <c r="H10"/>
  <c r="F37" i="45"/>
  <c r="F10" i="44"/>
  <c r="E37" i="45"/>
  <c r="E10" i="44"/>
  <c r="C10"/>
  <c r="R45" i="35"/>
  <c r="L57"/>
  <c r="G8" i="44" s="1"/>
  <c r="R106" i="35"/>
  <c r="C9" i="44" l="1"/>
  <c r="E36" i="45"/>
  <c r="E9" i="44"/>
  <c r="H11"/>
  <c r="F38" i="45"/>
  <c r="F11" i="44"/>
  <c r="H8"/>
  <c r="F35" i="45"/>
  <c r="F8" i="44"/>
  <c r="G7" i="45" l="1"/>
  <c r="G8" s="1"/>
  <c r="G9" s="1"/>
  <c r="F25" s="1"/>
  <c r="B14" s="1"/>
</calcChain>
</file>

<file path=xl/sharedStrings.xml><?xml version="1.0" encoding="utf-8"?>
<sst xmlns="http://schemas.openxmlformats.org/spreadsheetml/2006/main" count="557" uniqueCount="171">
  <si>
    <t>2.</t>
  </si>
  <si>
    <t>1.</t>
  </si>
  <si>
    <t>nazwisko i imię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</si>
  <si>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</si>
  <si>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</si>
  <si>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</si>
  <si>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</si>
  <si>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</si>
  <si>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</si>
  <si>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</si>
  <si>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</si>
  <si>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</si>
  <si>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</si>
  <si>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</si>
  <si>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</si>
  <si>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</si>
  <si>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</si>
  <si>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</si>
  <si>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</si>
  <si>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</si>
  <si>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</si>
  <si>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</si>
  <si>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</si>
  <si>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</si>
  <si>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</si>
  <si>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</si>
  <si>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</si>
  <si>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</si>
  <si>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</si>
  <si>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</si>
  <si>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</si>
  <si>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</si>
  <si>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</si>
  <si>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klub sportowy</t>
  </si>
  <si>
    <t>1 miejsce</t>
  </si>
  <si>
    <t>1/8 finału</t>
  </si>
  <si>
    <t>1/4 finału</t>
  </si>
  <si>
    <t>1/2 finału</t>
  </si>
  <si>
    <t>I</t>
  </si>
  <si>
    <t>II</t>
  </si>
  <si>
    <t>WYPEŁNIA PROWADZĄCY OBSŁUGĘ KOMPUTEROWĄ PRZED ROZPOCZĘCIEM TURNIEJU</t>
  </si>
  <si>
    <t>Nazwa turnieju:</t>
  </si>
  <si>
    <t>Miejsce rozgrywania turnieju (miasto):</t>
  </si>
  <si>
    <t>Termin rozgrywania turnieju:</t>
  </si>
  <si>
    <t>Konkurencja:</t>
  </si>
  <si>
    <t>ranking</t>
  </si>
  <si>
    <t xml:space="preserve"> </t>
  </si>
  <si>
    <t>5-8.</t>
  </si>
  <si>
    <t>9-16.</t>
  </si>
  <si>
    <t>17-32.</t>
  </si>
  <si>
    <t>nr lic.</t>
  </si>
  <si>
    <t>data ur.</t>
  </si>
  <si>
    <t>4</t>
  </si>
  <si>
    <t>3</t>
  </si>
  <si>
    <t>2</t>
  </si>
  <si>
    <t>1</t>
  </si>
  <si>
    <t>lp.</t>
  </si>
  <si>
    <t>suma</t>
  </si>
  <si>
    <t>1 runda</t>
  </si>
  <si>
    <t>finał</t>
  </si>
  <si>
    <t>nr meczu</t>
  </si>
  <si>
    <t>łącznie</t>
  </si>
  <si>
    <t>32</t>
  </si>
  <si>
    <t>17</t>
  </si>
  <si>
    <t>16</t>
  </si>
  <si>
    <t>9</t>
  </si>
  <si>
    <t>24</t>
  </si>
  <si>
    <t>25</t>
  </si>
  <si>
    <t>8</t>
  </si>
  <si>
    <t>5</t>
  </si>
  <si>
    <t>28</t>
  </si>
  <si>
    <t>21</t>
  </si>
  <si>
    <t>12</t>
  </si>
  <si>
    <t>13</t>
  </si>
  <si>
    <t>20</t>
  </si>
  <si>
    <t>29</t>
  </si>
  <si>
    <t>30</t>
  </si>
  <si>
    <t>19</t>
  </si>
  <si>
    <t>14</t>
  </si>
  <si>
    <t>11</t>
  </si>
  <si>
    <t>22</t>
  </si>
  <si>
    <t>27</t>
  </si>
  <si>
    <t>6</t>
  </si>
  <si>
    <t>7</t>
  </si>
  <si>
    <t>26</t>
  </si>
  <si>
    <t>23</t>
  </si>
  <si>
    <t>10</t>
  </si>
  <si>
    <t>15</t>
  </si>
  <si>
    <t>18</t>
  </si>
  <si>
    <t>31</t>
  </si>
  <si>
    <t>KATEGORIA:</t>
  </si>
  <si>
    <t>GODZINA / STÓŁ:</t>
  </si>
  <si>
    <t>PROTOKÓŁ MECZU</t>
  </si>
  <si>
    <t>NAZWISKO I IMIĘ</t>
  </si>
  <si>
    <t>1 SET</t>
  </si>
  <si>
    <t>2 SET</t>
  </si>
  <si>
    <t>3 SET</t>
  </si>
  <si>
    <t>4 SET</t>
  </si>
  <si>
    <t>5 SET</t>
  </si>
  <si>
    <t>SETY</t>
  </si>
  <si>
    <t>ZWYCIĘZCA:</t>
  </si>
  <si>
    <t>WYNIK:</t>
  </si>
  <si>
    <t>PODPIS ZAWODNIKA:</t>
  </si>
  <si>
    <t>PODPIS SĘDZIEGO:</t>
  </si>
  <si>
    <t>para 1 zawodnik 1</t>
  </si>
  <si>
    <t>para 1 zawodnik 2</t>
  </si>
  <si>
    <t>para 2 zawodnik 1</t>
  </si>
  <si>
    <t>para 2 zawodnik 2</t>
  </si>
  <si>
    <t>nr s.</t>
  </si>
  <si>
    <t>nr s. 1</t>
  </si>
  <si>
    <t>nr s. 2</t>
  </si>
  <si>
    <t>Niesklasyfikowani:</t>
  </si>
  <si>
    <t>3 miejsce</t>
  </si>
  <si>
    <t>4 miejsce</t>
  </si>
  <si>
    <t>Sędzia Główny</t>
  </si>
  <si>
    <t>Obsługa komputerowa</t>
  </si>
  <si>
    <t>Konkurencja skrót:</t>
  </si>
  <si>
    <t>SENIOR</t>
  </si>
  <si>
    <t>kategoria:</t>
  </si>
  <si>
    <t>Iz</t>
  </si>
  <si>
    <t>Iiz</t>
  </si>
  <si>
    <t>-</t>
  </si>
  <si>
    <t>`</t>
  </si>
  <si>
    <t>miejsce</t>
  </si>
  <si>
    <t xml:space="preserve">wpisując 1 lub 2 zmieniamy nazwiska miejscami </t>
  </si>
  <si>
    <t xml:space="preserve">  </t>
  </si>
  <si>
    <t>Dyplom nr.</t>
  </si>
  <si>
    <t>Miejsce</t>
  </si>
  <si>
    <t>DUDZIAK Anna</t>
  </si>
  <si>
    <t>GŁADYSZ Janusz</t>
  </si>
  <si>
    <t>URBAŃCZYK Piotr</t>
  </si>
  <si>
    <t>URBAŃCZYK Mariola</t>
  </si>
  <si>
    <t>BURACZEK Elżbieta</t>
  </si>
  <si>
    <t>CIOŁEK Zbigniew</t>
  </si>
  <si>
    <t>KASPRZAK Natalia</t>
  </si>
  <si>
    <t>PAWŁOWSKI Stanisław</t>
  </si>
  <si>
    <t>GAPSKA Krystyna</t>
  </si>
  <si>
    <t>NOWAKOWSKI Robert</t>
  </si>
  <si>
    <t>RATAJCZAK Janusz</t>
  </si>
  <si>
    <t>GRAŚ Anna</t>
  </si>
  <si>
    <t>GRZESIK Izabela</t>
  </si>
  <si>
    <t>KRYCZEK Adam</t>
  </si>
  <si>
    <t>PODSIADŁO ZBIGNIEW</t>
  </si>
  <si>
    <t>TĄDEL Katarzyna</t>
  </si>
  <si>
    <t>CIEŚLIK Małgorzata</t>
  </si>
  <si>
    <t>PAŁĘGA Józef</t>
  </si>
  <si>
    <t>GAWRON Bogdan</t>
  </si>
  <si>
    <t>DRZYMAŁA Jadwiga</t>
  </si>
  <si>
    <t>WOŁOWIEC Ryszard</t>
  </si>
  <si>
    <t>BALCERZAK Aneta</t>
  </si>
  <si>
    <t>CZARNECKA Jolanta</t>
  </si>
  <si>
    <t>AMPUŁA Andrzej</t>
  </si>
  <si>
    <t>DROBNY Maciej</t>
  </si>
  <si>
    <t>PAWLAK Katarzyna</t>
  </si>
  <si>
    <t>WRONA Monika</t>
  </si>
  <si>
    <t>KOSSAK Bartosz</t>
  </si>
  <si>
    <t>KUREK Ryszard</t>
  </si>
  <si>
    <t>MICHALSKA Elżbieta</t>
  </si>
  <si>
    <t>WITASIK Jolanta</t>
  </si>
  <si>
    <t>KOSTRZEWSKI Krzysztof</t>
  </si>
  <si>
    <t>ŚLUSARCZYK Urszula</t>
  </si>
  <si>
    <t>KACZMARCZYK Kamil</t>
  </si>
  <si>
    <t>64. Mistrzostwa Polski Kolejarzy</t>
  </si>
  <si>
    <t>Suchedniów</t>
  </si>
  <si>
    <t>21-23.04.2023r.</t>
  </si>
  <si>
    <t>Bartosz Majcher</t>
  </si>
  <si>
    <t>Michał Majcher</t>
  </si>
  <si>
    <t>GRA MIESZANA</t>
  </si>
  <si>
    <t>MIXT</t>
  </si>
  <si>
    <t>TĄDEL KATARZYNA</t>
  </si>
  <si>
    <t>PODSIADŁO Zbigniew</t>
  </si>
</sst>
</file>

<file path=xl/styles.xml><?xml version="1.0" encoding="utf-8"?>
<styleSheet xmlns="http://schemas.openxmlformats.org/spreadsheetml/2006/main">
  <fonts count="127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</font>
    <font>
      <b/>
      <sz val="14"/>
      <name val="Calibri"/>
      <family val="2"/>
      <charset val="238"/>
    </font>
    <font>
      <b/>
      <i/>
      <sz val="16"/>
      <color indexed="63"/>
      <name val="Calibri"/>
      <family val="2"/>
      <charset val="238"/>
    </font>
    <font>
      <sz val="13"/>
      <name val="Calibri"/>
      <family val="2"/>
      <charset val="238"/>
    </font>
    <font>
      <b/>
      <i/>
      <sz val="13"/>
      <name val="Calibri"/>
      <family val="2"/>
      <charset val="238"/>
    </font>
    <font>
      <b/>
      <sz val="13"/>
      <color indexed="20"/>
      <name val="Calibri"/>
      <family val="2"/>
      <charset val="238"/>
    </font>
    <font>
      <b/>
      <sz val="13"/>
      <name val="Calibri"/>
      <family val="2"/>
      <charset val="238"/>
    </font>
    <font>
      <b/>
      <i/>
      <sz val="14"/>
      <color indexed="63"/>
      <name val="Calibri"/>
      <family val="2"/>
      <charset val="238"/>
    </font>
    <font>
      <b/>
      <i/>
      <sz val="20"/>
      <color indexed="9"/>
      <name val="Calibri"/>
      <family val="2"/>
      <charset val="238"/>
    </font>
    <font>
      <sz val="12"/>
      <name val="Calibri"/>
      <family val="2"/>
      <charset val="238"/>
    </font>
    <font>
      <sz val="10"/>
      <name val="Arial"/>
      <family val="2"/>
      <charset val="238"/>
    </font>
    <font>
      <sz val="14"/>
      <name val="Calibri"/>
      <family val="2"/>
      <charset val="238"/>
    </font>
    <font>
      <b/>
      <i/>
      <sz val="12"/>
      <color indexed="63"/>
      <name val="Calibri"/>
      <family val="2"/>
      <charset val="238"/>
    </font>
    <font>
      <b/>
      <i/>
      <sz val="12"/>
      <color indexed="9"/>
      <name val="Calibri"/>
      <family val="2"/>
      <charset val="238"/>
    </font>
    <font>
      <sz val="10"/>
      <color indexed="22"/>
      <name val="Calibri"/>
      <family val="2"/>
      <charset val="238"/>
    </font>
    <font>
      <b/>
      <i/>
      <sz val="16"/>
      <color indexed="22"/>
      <name val="Calibri"/>
      <family val="2"/>
      <charset val="238"/>
    </font>
    <font>
      <b/>
      <sz val="13"/>
      <color indexed="22"/>
      <name val="Calibri"/>
      <family val="2"/>
      <charset val="238"/>
    </font>
    <font>
      <sz val="13"/>
      <color indexed="22"/>
      <name val="Calibri"/>
      <family val="2"/>
      <charset val="238"/>
    </font>
    <font>
      <sz val="16"/>
      <name val="Calibri"/>
      <family val="2"/>
      <charset val="238"/>
    </font>
    <font>
      <b/>
      <sz val="18"/>
      <name val="Calibri"/>
      <family val="2"/>
      <charset val="238"/>
    </font>
    <font>
      <i/>
      <sz val="14"/>
      <color indexed="9"/>
      <name val="Calibri"/>
      <family val="2"/>
      <charset val="238"/>
    </font>
    <font>
      <b/>
      <sz val="16"/>
      <name val="Calibri"/>
      <family val="2"/>
      <charset val="238"/>
    </font>
    <font>
      <i/>
      <sz val="12"/>
      <name val="Calibri"/>
      <family val="2"/>
      <charset val="238"/>
    </font>
    <font>
      <i/>
      <sz val="14"/>
      <name val="Calibri"/>
      <family val="2"/>
      <charset val="238"/>
    </font>
    <font>
      <i/>
      <sz val="10"/>
      <name val="Calibri"/>
      <family val="2"/>
      <charset val="238"/>
    </font>
    <font>
      <b/>
      <i/>
      <sz val="16"/>
      <name val="Calibri"/>
      <family val="2"/>
      <charset val="238"/>
    </font>
    <font>
      <b/>
      <i/>
      <sz val="14"/>
      <name val="Calibri"/>
      <family val="2"/>
      <charset val="238"/>
    </font>
    <font>
      <b/>
      <i/>
      <sz val="12"/>
      <name val="Calibri"/>
      <family val="2"/>
      <charset val="238"/>
    </font>
    <font>
      <b/>
      <sz val="14"/>
      <color indexed="12"/>
      <name val="Calibri"/>
      <family val="2"/>
      <charset val="238"/>
    </font>
    <font>
      <b/>
      <i/>
      <sz val="14"/>
      <color indexed="9"/>
      <name val="Calibri"/>
      <family val="2"/>
      <charset val="238"/>
    </font>
    <font>
      <sz val="11"/>
      <color indexed="8"/>
      <name val="Calibri"/>
      <family val="2"/>
    </font>
    <font>
      <sz val="10"/>
      <color indexed="20"/>
      <name val="Calibri"/>
      <family val="2"/>
      <charset val="238"/>
    </font>
    <font>
      <b/>
      <sz val="14"/>
      <color indexed="20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i/>
      <sz val="9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i/>
      <sz val="8"/>
      <color indexed="8"/>
      <name val="Calibri"/>
      <family val="2"/>
      <charset val="238"/>
    </font>
    <font>
      <i/>
      <sz val="7"/>
      <color indexed="8"/>
      <name val="Calibri"/>
      <family val="2"/>
      <charset val="238"/>
    </font>
    <font>
      <i/>
      <sz val="8"/>
      <name val="Calibri"/>
      <family val="2"/>
      <charset val="238"/>
    </font>
    <font>
      <i/>
      <sz val="7"/>
      <name val="Calibri"/>
      <family val="2"/>
      <charset val="238"/>
    </font>
    <font>
      <b/>
      <i/>
      <sz val="9"/>
      <color indexed="8"/>
      <name val="Calibri"/>
      <family val="2"/>
      <charset val="238"/>
    </font>
    <font>
      <b/>
      <sz val="12"/>
      <name val="Calibri"/>
      <family val="2"/>
      <charset val="238"/>
    </font>
    <font>
      <i/>
      <sz val="13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12"/>
      <color indexed="63"/>
      <name val="Calibri"/>
      <family val="2"/>
      <charset val="238"/>
    </font>
    <font>
      <sz val="9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</font>
    <font>
      <b/>
      <i/>
      <sz val="12"/>
      <color rgb="FFEB0000"/>
      <name val="Calibri"/>
      <family val="2"/>
      <charset val="238"/>
    </font>
    <font>
      <b/>
      <sz val="12"/>
      <color theme="4" tint="-0.499984740745262"/>
      <name val="Calibri"/>
      <family val="2"/>
      <charset val="238"/>
    </font>
    <font>
      <b/>
      <sz val="28"/>
      <color theme="4" tint="-0.249977111117893"/>
      <name val="Cambria"/>
      <family val="1"/>
      <charset val="238"/>
      <scheme val="major"/>
    </font>
    <font>
      <b/>
      <sz val="12"/>
      <color theme="4" tint="-0.249977111117893"/>
      <name val="Calibri"/>
      <family val="2"/>
      <charset val="238"/>
    </font>
    <font>
      <b/>
      <sz val="28"/>
      <color indexed="18"/>
      <name val="Cambria"/>
      <family val="1"/>
      <charset val="238"/>
      <scheme val="major"/>
    </font>
    <font>
      <sz val="14"/>
      <color theme="0"/>
      <name val="Calibri"/>
      <family val="2"/>
      <charset val="238"/>
    </font>
    <font>
      <b/>
      <sz val="14"/>
      <color theme="0"/>
      <name val="Calibri"/>
      <family val="2"/>
      <charset val="238"/>
    </font>
    <font>
      <b/>
      <sz val="13"/>
      <color theme="0" tint="-0.249977111117893"/>
      <name val="Calibri"/>
      <family val="2"/>
      <charset val="238"/>
    </font>
    <font>
      <b/>
      <sz val="36"/>
      <color theme="4" tint="-0.249977111117893"/>
      <name val="Cambria"/>
      <family val="1"/>
      <charset val="238"/>
      <scheme val="major"/>
    </font>
    <font>
      <b/>
      <sz val="16"/>
      <name val="Cambria"/>
      <family val="1"/>
      <charset val="238"/>
      <scheme val="major"/>
    </font>
    <font>
      <b/>
      <sz val="14"/>
      <color rgb="FFEA0000"/>
      <name val="Calibri"/>
      <family val="2"/>
      <charset val="238"/>
    </font>
    <font>
      <b/>
      <i/>
      <sz val="14"/>
      <color theme="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33"/>
      <color theme="4" tint="-0.249977111117893"/>
      <name val="Cambria"/>
      <family val="1"/>
      <charset val="238"/>
      <scheme val="major"/>
    </font>
    <font>
      <b/>
      <i/>
      <sz val="14"/>
      <color rgb="FFFF0000"/>
      <name val="Calibri"/>
      <family val="2"/>
      <charset val="238"/>
    </font>
    <font>
      <b/>
      <i/>
      <sz val="20"/>
      <color theme="0"/>
      <name val="Calibri"/>
      <family val="2"/>
      <charset val="238"/>
    </font>
    <font>
      <b/>
      <sz val="25"/>
      <color theme="4" tint="-0.249977111117893"/>
      <name val="Cambria"/>
      <family val="1"/>
      <charset val="238"/>
      <scheme val="major"/>
    </font>
    <font>
      <b/>
      <i/>
      <sz val="13"/>
      <color theme="0"/>
      <name val="Calibri"/>
      <family val="2"/>
      <charset val="238"/>
    </font>
    <font>
      <b/>
      <sz val="13"/>
      <color theme="0"/>
      <name val="Calibri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3"/>
      <color theme="0"/>
      <name val="Calibri"/>
      <family val="2"/>
      <charset val="238"/>
    </font>
    <font>
      <b/>
      <i/>
      <sz val="12"/>
      <color theme="0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name val="Czcionka tekstu podstawowego"/>
      <charset val="238"/>
    </font>
    <font>
      <sz val="48"/>
      <color theme="1"/>
      <name val="Czcionka tekstu podstawowego"/>
      <family val="2"/>
      <charset val="238"/>
    </font>
    <font>
      <b/>
      <sz val="60"/>
      <color theme="1"/>
      <name val="Calibri"/>
      <family val="2"/>
      <charset val="238"/>
      <scheme val="minor"/>
    </font>
    <font>
      <sz val="6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1"/>
      <color rgb="FFFF0000"/>
      <name val="Czcionka tekstu podstawowego"/>
      <family val="2"/>
      <charset val="238"/>
    </font>
    <font>
      <b/>
      <sz val="10"/>
      <color rgb="FFFF0000"/>
      <name val="Arial"/>
      <family val="2"/>
      <charset val="238"/>
    </font>
    <font>
      <b/>
      <sz val="50"/>
      <color theme="1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8"/>
      <name val="Czcionka tekstu podstawowego"/>
      <charset val="238"/>
    </font>
    <font>
      <b/>
      <sz val="18"/>
      <color theme="1"/>
      <name val="Czcionka tekstu podstawowego"/>
      <charset val="238"/>
    </font>
    <font>
      <sz val="14"/>
      <color theme="1"/>
      <name val="Czcionka tekstu podstawowego"/>
      <family val="2"/>
      <charset val="238"/>
    </font>
    <font>
      <sz val="14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zcionka tekstu podstawowego"/>
      <family val="2"/>
      <charset val="238"/>
    </font>
    <font>
      <sz val="11"/>
      <color indexed="6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zcionka tekstu podstawowego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alibri"/>
      <family val="2"/>
      <charset val="238"/>
    </font>
    <font>
      <b/>
      <sz val="11"/>
      <name val="Czcionka tekstu podstawowego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3">
    <xf numFmtId="0" fontId="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32" fillId="0" borderId="0"/>
    <xf numFmtId="0" fontId="1" fillId="0" borderId="0"/>
    <xf numFmtId="0" fontId="1" fillId="0" borderId="0"/>
    <xf numFmtId="0" fontId="93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4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3" fillId="19" borderId="0" applyNumberFormat="0" applyBorder="0" applyAlignment="0" applyProtection="0"/>
    <xf numFmtId="0" fontId="93" fillId="20" borderId="0" applyNumberFormat="0" applyBorder="0" applyAlignment="0" applyProtection="0"/>
    <xf numFmtId="0" fontId="93" fillId="21" borderId="0" applyNumberFormat="0" applyBorder="0" applyAlignment="0" applyProtection="0"/>
    <xf numFmtId="0" fontId="93" fillId="16" borderId="0" applyNumberFormat="0" applyBorder="0" applyAlignment="0" applyProtection="0"/>
    <xf numFmtId="0" fontId="93" fillId="19" borderId="0" applyNumberFormat="0" applyBorder="0" applyAlignment="0" applyProtection="0"/>
    <xf numFmtId="0" fontId="93" fillId="22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16" borderId="0" applyNumberFormat="0" applyBorder="0" applyAlignment="0" applyProtection="0"/>
    <xf numFmtId="0" fontId="94" fillId="19" borderId="0" applyNumberFormat="0" applyBorder="0" applyAlignment="0" applyProtection="0"/>
    <xf numFmtId="0" fontId="94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3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5" fillId="30" borderId="0" applyNumberFormat="0" applyBorder="0" applyAlignment="0" applyProtection="0"/>
    <xf numFmtId="0" fontId="96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30" borderId="0" applyNumberFormat="0" applyBorder="0" applyAlignment="0" applyProtection="0"/>
    <xf numFmtId="0" fontId="97" fillId="14" borderId="0" applyNumberFormat="0" applyBorder="0" applyAlignment="0" applyProtection="0"/>
    <xf numFmtId="0" fontId="98" fillId="31" borderId="50" applyNumberFormat="0" applyAlignment="0" applyProtection="0"/>
    <xf numFmtId="0" fontId="99" fillId="32" borderId="51" applyNumberFormat="0" applyAlignment="0" applyProtection="0"/>
    <xf numFmtId="0" fontId="100" fillId="18" borderId="50" applyNumberFormat="0" applyAlignment="0" applyProtection="0"/>
    <xf numFmtId="0" fontId="101" fillId="31" borderId="52" applyNumberFormat="0" applyAlignment="0" applyProtection="0"/>
    <xf numFmtId="0" fontId="102" fillId="15" borderId="0" applyNumberFormat="0" applyBorder="0" applyAlignment="0" applyProtection="0"/>
    <xf numFmtId="0" fontId="93" fillId="0" borderId="0"/>
    <xf numFmtId="0" fontId="103" fillId="0" borderId="0" applyNumberFormat="0" applyFill="0" applyBorder="0" applyAlignment="0" applyProtection="0"/>
    <xf numFmtId="0" fontId="104" fillId="15" borderId="0" applyNumberFormat="0" applyBorder="0" applyAlignment="0" applyProtection="0"/>
    <xf numFmtId="0" fontId="105" fillId="0" borderId="53" applyNumberFormat="0" applyFill="0" applyAlignment="0" applyProtection="0"/>
    <xf numFmtId="0" fontId="106" fillId="0" borderId="54" applyNumberFormat="0" applyFill="0" applyAlignment="0" applyProtection="0"/>
    <xf numFmtId="0" fontId="107" fillId="0" borderId="55" applyNumberFormat="0" applyFill="0" applyAlignment="0" applyProtection="0"/>
    <xf numFmtId="0" fontId="107" fillId="0" borderId="0" applyNumberFormat="0" applyFill="0" applyBorder="0" applyAlignment="0" applyProtection="0"/>
    <xf numFmtId="0" fontId="108" fillId="18" borderId="50" applyNumberFormat="0" applyAlignment="0" applyProtection="0"/>
    <xf numFmtId="0" fontId="109" fillId="0" borderId="56" applyNumberFormat="0" applyFill="0" applyAlignment="0" applyProtection="0"/>
    <xf numFmtId="0" fontId="110" fillId="32" borderId="51" applyNumberFormat="0" applyAlignment="0" applyProtection="0"/>
    <xf numFmtId="0" fontId="111" fillId="0" borderId="56" applyNumberFormat="0" applyFill="0" applyAlignment="0" applyProtection="0"/>
    <xf numFmtId="0" fontId="112" fillId="0" borderId="53" applyNumberFormat="0" applyFill="0" applyAlignment="0" applyProtection="0"/>
    <xf numFmtId="0" fontId="113" fillId="0" borderId="54" applyNumberFormat="0" applyFill="0" applyAlignment="0" applyProtection="0"/>
    <xf numFmtId="0" fontId="114" fillId="0" borderId="55" applyNumberFormat="0" applyFill="0" applyAlignment="0" applyProtection="0"/>
    <xf numFmtId="0" fontId="114" fillId="0" borderId="0" applyNumberFormat="0" applyFill="0" applyBorder="0" applyAlignment="0" applyProtection="0"/>
    <xf numFmtId="0" fontId="115" fillId="33" borderId="0" applyNumberFormat="0" applyBorder="0" applyAlignment="0" applyProtection="0"/>
    <xf numFmtId="0" fontId="116" fillId="33" borderId="0" applyNumberFormat="0" applyBorder="0" applyAlignment="0" applyProtection="0"/>
    <xf numFmtId="0" fontId="12" fillId="0" borderId="0"/>
    <xf numFmtId="0" fontId="12" fillId="0" borderId="0"/>
    <xf numFmtId="0" fontId="93" fillId="0" borderId="0"/>
    <xf numFmtId="0" fontId="94" fillId="0" borderId="0"/>
    <xf numFmtId="0" fontId="1" fillId="0" borderId="0"/>
    <xf numFmtId="0" fontId="1" fillId="0" borderId="0"/>
    <xf numFmtId="0" fontId="117" fillId="0" borderId="0"/>
    <xf numFmtId="0" fontId="1" fillId="0" borderId="0"/>
    <xf numFmtId="0" fontId="93" fillId="34" borderId="57" applyNumberFormat="0" applyFont="0" applyAlignment="0" applyProtection="0"/>
    <xf numFmtId="0" fontId="118" fillId="31" borderId="50" applyNumberFormat="0" applyAlignment="0" applyProtection="0"/>
    <xf numFmtId="0" fontId="119" fillId="31" borderId="52" applyNumberFormat="0" applyAlignment="0" applyProtection="0"/>
    <xf numFmtId="0" fontId="38" fillId="0" borderId="58" applyNumberFormat="0" applyFill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58" applyNumberFormat="0" applyFill="0" applyAlignment="0" applyProtection="0"/>
    <xf numFmtId="0" fontId="122" fillId="0" borderId="0" applyNumberFormat="0" applyFill="0" applyBorder="0" applyAlignment="0" applyProtection="0"/>
    <xf numFmtId="0" fontId="94" fillId="34" borderId="57" applyNumberFormat="0" applyFont="0" applyAlignment="0" applyProtection="0"/>
    <xf numFmtId="0" fontId="124" fillId="0" borderId="0" applyNumberFormat="0" applyFill="0" applyBorder="0" applyAlignment="0" applyProtection="0"/>
    <xf numFmtId="0" fontId="125" fillId="14" borderId="0" applyNumberFormat="0" applyBorder="0" applyAlignment="0" applyProtection="0"/>
  </cellStyleXfs>
  <cellXfs count="371">
    <xf numFmtId="0" fontId="0" fillId="0" borderId="0" xfId="0"/>
    <xf numFmtId="0" fontId="2" fillId="0" borderId="0" xfId="6" applyNumberFormat="1" applyFont="1" applyAlignment="1">
      <alignment horizontal="right"/>
    </xf>
    <xf numFmtId="0" fontId="2" fillId="0" borderId="0" xfId="6" applyNumberFormat="1" applyFont="1" applyAlignment="1"/>
    <xf numFmtId="0" fontId="2" fillId="0" borderId="0" xfId="6" applyNumberFormat="1" applyFont="1" applyAlignment="1">
      <alignment horizontal="center"/>
    </xf>
    <xf numFmtId="0" fontId="26" fillId="0" borderId="0" xfId="6" applyNumberFormat="1" applyFont="1" applyAlignment="1"/>
    <xf numFmtId="0" fontId="2" fillId="0" borderId="0" xfId="6" applyNumberFormat="1" applyFont="1"/>
    <xf numFmtId="14" fontId="11" fillId="0" borderId="0" xfId="6" applyNumberFormat="1" applyFont="1" applyFill="1" applyBorder="1" applyAlignment="1">
      <alignment horizontal="center" vertical="center"/>
    </xf>
    <xf numFmtId="0" fontId="24" fillId="0" borderId="0" xfId="6" applyNumberFormat="1" applyFont="1" applyFill="1" applyBorder="1" applyAlignment="1">
      <alignment horizontal="left" vertical="center"/>
    </xf>
    <xf numFmtId="0" fontId="54" fillId="0" borderId="0" xfId="6" applyNumberFormat="1" applyFont="1" applyFill="1" applyBorder="1" applyAlignment="1">
      <alignment horizontal="center" vertical="center"/>
    </xf>
    <xf numFmtId="0" fontId="21" fillId="0" borderId="0" xfId="6" applyNumberFormat="1" applyFont="1" applyAlignment="1" applyProtection="1">
      <alignment vertical="center"/>
      <protection locked="0"/>
    </xf>
    <xf numFmtId="14" fontId="20" fillId="0" borderId="0" xfId="6" applyNumberFormat="1" applyFont="1" applyAlignment="1" applyProtection="1">
      <alignment horizontal="center" vertical="center"/>
      <protection hidden="1"/>
    </xf>
    <xf numFmtId="0" fontId="27" fillId="0" borderId="0" xfId="6" applyNumberFormat="1" applyFont="1" applyAlignment="1" applyProtection="1">
      <alignment horizontal="left" vertical="center"/>
      <protection locked="0"/>
    </xf>
    <xf numFmtId="14" fontId="20" fillId="0" borderId="0" xfId="6" applyNumberFormat="1" applyFont="1" applyAlignment="1" applyProtection="1">
      <alignment horizontal="center" vertical="center"/>
      <protection locked="0"/>
    </xf>
    <xf numFmtId="0" fontId="25" fillId="0" borderId="0" xfId="6" applyNumberFormat="1" applyFont="1" applyFill="1" applyBorder="1" applyAlignment="1">
      <alignment horizontal="right" vertical="center"/>
    </xf>
    <xf numFmtId="0" fontId="3" fillId="0" borderId="0" xfId="6" applyNumberFormat="1" applyFont="1" applyFill="1" applyBorder="1" applyAlignment="1">
      <alignment horizontal="left" vertical="center"/>
    </xf>
    <xf numFmtId="0" fontId="24" fillId="0" borderId="0" xfId="6" applyNumberFormat="1" applyFont="1" applyAlignment="1">
      <alignment horizontal="right" vertical="center"/>
    </xf>
    <xf numFmtId="0" fontId="55" fillId="0" borderId="0" xfId="5" applyNumberFormat="1" applyFont="1" applyBorder="1" applyAlignment="1" applyProtection="1">
      <alignment horizontal="right" vertical="center"/>
      <protection locked="0"/>
    </xf>
    <xf numFmtId="0" fontId="24" fillId="0" borderId="0" xfId="1" applyNumberFormat="1" applyFont="1" applyAlignment="1" applyProtection="1">
      <alignment horizontal="right" vertical="center"/>
      <protection hidden="1"/>
    </xf>
    <xf numFmtId="0" fontId="3" fillId="0" borderId="0" xfId="1" applyNumberFormat="1" applyFont="1" applyAlignment="1" applyProtection="1">
      <alignment horizontal="left" vertical="center" indent="1"/>
      <protection locked="0"/>
    </xf>
    <xf numFmtId="0" fontId="56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NumberFormat="1" applyFont="1"/>
    <xf numFmtId="0" fontId="57" fillId="0" borderId="0" xfId="5" applyNumberFormat="1" applyFont="1" applyAlignment="1">
      <alignment vertical="center"/>
    </xf>
    <xf numFmtId="0" fontId="2" fillId="0" borderId="0" xfId="5" applyNumberFormat="1" applyFont="1"/>
    <xf numFmtId="0" fontId="2" fillId="0" borderId="0" xfId="5" applyNumberFormat="1" applyFont="1" applyAlignment="1">
      <alignment horizontal="right"/>
    </xf>
    <xf numFmtId="49" fontId="33" fillId="0" borderId="0" xfId="5" applyNumberFormat="1" applyFont="1" applyAlignment="1">
      <alignment horizontal="center"/>
    </xf>
    <xf numFmtId="0" fontId="2" fillId="0" borderId="0" xfId="5" applyNumberFormat="1" applyFont="1" applyAlignment="1"/>
    <xf numFmtId="0" fontId="2" fillId="0" borderId="0" xfId="5" applyNumberFormat="1" applyFont="1" applyAlignment="1">
      <alignment horizontal="center"/>
    </xf>
    <xf numFmtId="0" fontId="2" fillId="0" borderId="0" xfId="5" applyNumberFormat="1" applyFont="1" applyFill="1" applyBorder="1"/>
    <xf numFmtId="0" fontId="9" fillId="0" borderId="0" xfId="5" applyNumberFormat="1" applyFont="1" applyFill="1" applyBorder="1" applyAlignment="1">
      <alignment vertical="center"/>
    </xf>
    <xf numFmtId="0" fontId="28" fillId="4" borderId="0" xfId="1" applyNumberFormat="1" applyFont="1" applyFill="1" applyBorder="1" applyAlignment="1">
      <alignment horizontal="center" vertical="center"/>
    </xf>
    <xf numFmtId="49" fontId="29" fillId="4" borderId="0" xfId="1" applyNumberFormat="1" applyFont="1" applyFill="1" applyBorder="1" applyAlignment="1">
      <alignment horizontal="center" vertical="center" wrapText="1" shrinkToFit="1"/>
    </xf>
    <xf numFmtId="0" fontId="25" fillId="0" borderId="0" xfId="5" applyNumberFormat="1" applyFont="1" applyFill="1" applyBorder="1" applyAlignment="1">
      <alignment horizontal="right" vertical="center"/>
    </xf>
    <xf numFmtId="49" fontId="58" fillId="0" borderId="0" xfId="1" applyNumberFormat="1" applyFont="1" applyFill="1" applyBorder="1" applyAlignment="1">
      <alignment horizontal="center" vertical="center"/>
    </xf>
    <xf numFmtId="0" fontId="8" fillId="0" borderId="0" xfId="5" applyNumberFormat="1" applyFont="1" applyFill="1" applyBorder="1" applyAlignment="1" applyProtection="1">
      <alignment vertical="center"/>
      <protection locked="0"/>
    </xf>
    <xf numFmtId="0" fontId="24" fillId="0" borderId="0" xfId="1" applyNumberFormat="1" applyFont="1" applyFill="1" applyBorder="1" applyAlignment="1">
      <alignment horizontal="left" vertical="center" indent="1"/>
    </xf>
    <xf numFmtId="0" fontId="11" fillId="0" borderId="0" xfId="4" applyNumberFormat="1" applyFont="1" applyAlignment="1" applyProtection="1">
      <alignment horizontal="left" vertical="center"/>
      <protection locked="0"/>
    </xf>
    <xf numFmtId="0" fontId="11" fillId="0" borderId="0" xfId="4" applyNumberFormat="1" applyFont="1" applyAlignment="1" applyProtection="1">
      <alignment horizontal="center" vertical="center"/>
      <protection locked="0"/>
    </xf>
    <xf numFmtId="0" fontId="24" fillId="0" borderId="0" xfId="5" applyNumberFormat="1" applyFont="1" applyAlignment="1">
      <alignment horizontal="right" vertical="center"/>
    </xf>
    <xf numFmtId="0" fontId="2" fillId="0" borderId="0" xfId="5" applyNumberFormat="1" applyFont="1" applyFill="1"/>
    <xf numFmtId="0" fontId="2" fillId="0" borderId="0" xfId="5" applyNumberFormat="1" applyFont="1" applyFill="1" applyAlignment="1">
      <alignment horizontal="right"/>
    </xf>
    <xf numFmtId="49" fontId="33" fillId="0" borderId="0" xfId="5" applyNumberFormat="1" applyFont="1" applyFill="1" applyAlignment="1">
      <alignment horizontal="center"/>
    </xf>
    <xf numFmtId="0" fontId="2" fillId="0" borderId="0" xfId="5" applyNumberFormat="1" applyFont="1" applyFill="1" applyAlignment="1"/>
    <xf numFmtId="0" fontId="28" fillId="0" borderId="0" xfId="1" applyNumberFormat="1" applyFont="1" applyFill="1" applyBorder="1" applyAlignment="1">
      <alignment horizontal="center" vertical="center"/>
    </xf>
    <xf numFmtId="49" fontId="34" fillId="0" borderId="0" xfId="5" applyNumberFormat="1" applyFont="1" applyFill="1" applyBorder="1" applyAlignment="1">
      <alignment horizontal="center" vertical="center"/>
    </xf>
    <xf numFmtId="0" fontId="3" fillId="0" borderId="0" xfId="5" applyNumberFormat="1" applyFont="1" applyFill="1" applyBorder="1" applyAlignment="1">
      <alignment horizontal="left" vertical="center"/>
    </xf>
    <xf numFmtId="0" fontId="11" fillId="0" borderId="0" xfId="5" applyNumberFormat="1" applyFont="1" applyFill="1" applyBorder="1" applyAlignment="1">
      <alignment horizontal="left" vertical="center"/>
    </xf>
    <xf numFmtId="49" fontId="59" fillId="0" borderId="0" xfId="5" applyNumberFormat="1" applyFont="1" applyFill="1" applyBorder="1" applyAlignment="1" applyProtection="1">
      <alignment vertical="center"/>
      <protection locked="0"/>
    </xf>
    <xf numFmtId="0" fontId="59" fillId="0" borderId="0" xfId="5" applyNumberFormat="1" applyFont="1" applyFill="1" applyBorder="1" applyAlignment="1" applyProtection="1">
      <alignment vertical="center"/>
      <protection locked="0"/>
    </xf>
    <xf numFmtId="0" fontId="2" fillId="0" borderId="0" xfId="5" applyNumberFormat="1" applyFont="1" applyProtection="1">
      <protection locked="0"/>
    </xf>
    <xf numFmtId="0" fontId="2" fillId="0" borderId="0" xfId="5" applyFont="1"/>
    <xf numFmtId="49" fontId="13" fillId="0" borderId="0" xfId="5" applyNumberFormat="1" applyFont="1" applyAlignment="1" applyProtection="1">
      <alignment horizontal="center"/>
      <protection locked="0"/>
    </xf>
    <xf numFmtId="0" fontId="2" fillId="0" borderId="0" xfId="5" applyNumberFormat="1" applyFont="1" applyAlignment="1" applyProtection="1">
      <alignment horizontal="center"/>
      <protection locked="0"/>
    </xf>
    <xf numFmtId="0" fontId="11" fillId="0" borderId="0" xfId="5" applyNumberFormat="1" applyFont="1" applyProtection="1">
      <protection locked="0"/>
    </xf>
    <xf numFmtId="0" fontId="16" fillId="0" borderId="0" xfId="5" applyNumberFormat="1" applyFont="1" applyAlignment="1" applyProtection="1">
      <alignment horizontal="center"/>
      <protection locked="0"/>
    </xf>
    <xf numFmtId="0" fontId="13" fillId="0" borderId="0" xfId="5" applyNumberFormat="1" applyFont="1" applyAlignment="1" applyProtection="1">
      <alignment horizontal="left"/>
      <protection locked="0"/>
    </xf>
    <xf numFmtId="0" fontId="13" fillId="0" borderId="0" xfId="5" applyNumberFormat="1" applyFont="1" applyProtection="1">
      <protection locked="0"/>
    </xf>
    <xf numFmtId="0" fontId="16" fillId="0" borderId="0" xfId="5" applyNumberFormat="1" applyFont="1" applyProtection="1">
      <protection locked="0"/>
    </xf>
    <xf numFmtId="49" fontId="4" fillId="0" borderId="0" xfId="5" applyNumberFormat="1" applyFont="1" applyFill="1" applyBorder="1" applyAlignment="1" applyProtection="1">
      <alignment vertical="center"/>
      <protection locked="0"/>
    </xf>
    <xf numFmtId="0" fontId="4" fillId="0" borderId="0" xfId="5" applyNumberFormat="1" applyFont="1" applyFill="1" applyBorder="1" applyAlignment="1" applyProtection="1">
      <alignment vertical="center"/>
      <protection locked="0"/>
    </xf>
    <xf numFmtId="49" fontId="9" fillId="0" borderId="0" xfId="5" applyNumberFormat="1" applyFont="1" applyFill="1" applyBorder="1" applyAlignment="1" applyProtection="1">
      <alignment horizontal="center" vertical="center"/>
      <protection locked="0"/>
    </xf>
    <xf numFmtId="0" fontId="4" fillId="0" borderId="0" xfId="5" applyNumberFormat="1" applyFont="1" applyFill="1" applyBorder="1" applyAlignment="1" applyProtection="1">
      <alignment horizontal="center" vertical="center"/>
      <protection locked="0"/>
    </xf>
    <xf numFmtId="0" fontId="14" fillId="0" borderId="0" xfId="5" applyNumberFormat="1" applyFont="1" applyFill="1" applyBorder="1" applyAlignment="1" applyProtection="1">
      <alignment horizontal="center" vertical="center"/>
      <protection locked="0"/>
    </xf>
    <xf numFmtId="0" fontId="17" fillId="0" borderId="0" xfId="5" applyNumberFormat="1" applyFont="1" applyFill="1" applyBorder="1" applyAlignment="1" applyProtection="1">
      <alignment horizontal="center" vertical="center"/>
      <protection locked="0"/>
    </xf>
    <xf numFmtId="0" fontId="9" fillId="0" borderId="0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NumberFormat="1" applyFont="1" applyFill="1" applyBorder="1" applyProtection="1">
      <protection locked="0"/>
    </xf>
    <xf numFmtId="49" fontId="9" fillId="0" borderId="0" xfId="5" applyNumberFormat="1" applyFont="1" applyFill="1" applyBorder="1" applyAlignment="1">
      <alignment horizontal="center" vertical="center"/>
    </xf>
    <xf numFmtId="0" fontId="35" fillId="5" borderId="1" xfId="5" applyNumberFormat="1" applyFont="1" applyFill="1" applyBorder="1" applyAlignment="1" applyProtection="1">
      <alignment horizontal="center" vertical="center"/>
      <protection locked="0"/>
    </xf>
    <xf numFmtId="0" fontId="4" fillId="0" borderId="2" xfId="5" applyNumberFormat="1" applyFont="1" applyFill="1" applyBorder="1" applyAlignment="1" applyProtection="1">
      <alignment horizontal="center" vertical="center"/>
      <protection locked="0"/>
    </xf>
    <xf numFmtId="0" fontId="14" fillId="0" borderId="2" xfId="5" applyNumberFormat="1" applyFont="1" applyFill="1" applyBorder="1" applyAlignment="1" applyProtection="1">
      <alignment horizontal="center" vertical="center"/>
      <protection locked="0"/>
    </xf>
    <xf numFmtId="0" fontId="7" fillId="7" borderId="0" xfId="5" applyNumberFormat="1" applyFont="1" applyFill="1" applyAlignment="1" applyProtection="1">
      <alignment horizontal="center" vertical="center"/>
      <protection locked="0"/>
    </xf>
    <xf numFmtId="0" fontId="16" fillId="0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0" xfId="5" applyNumberFormat="1" applyFont="1" applyFill="1" applyBorder="1" applyAlignment="1" applyProtection="1">
      <alignment horizontal="left" vertical="center"/>
      <protection locked="0"/>
    </xf>
    <xf numFmtId="0" fontId="13" fillId="0" borderId="0" xfId="5" applyNumberFormat="1" applyFont="1" applyFill="1" applyBorder="1" applyAlignment="1" applyProtection="1">
      <alignment horizontal="right" vertical="center"/>
      <protection locked="0"/>
    </xf>
    <xf numFmtId="0" fontId="19" fillId="0" borderId="0" xfId="5" applyNumberFormat="1" applyFont="1" applyAlignment="1" applyProtection="1">
      <alignment horizontal="center" vertical="center"/>
      <protection locked="0"/>
    </xf>
    <xf numFmtId="0" fontId="5" fillId="0" borderId="0" xfId="5" applyNumberFormat="1" applyFont="1" applyAlignment="1" applyProtection="1">
      <alignment horizontal="left" vertical="center"/>
      <protection locked="0"/>
    </xf>
    <xf numFmtId="0" fontId="13" fillId="0" borderId="0" xfId="5" applyNumberFormat="1" applyFont="1" applyAlignment="1" applyProtection="1">
      <alignment horizontal="right" vertical="center"/>
      <protection locked="0"/>
    </xf>
    <xf numFmtId="0" fontId="19" fillId="0" borderId="0" xfId="5" applyNumberFormat="1" applyFont="1" applyAlignment="1" applyProtection="1">
      <alignment horizontal="right" vertical="center"/>
      <protection locked="0"/>
    </xf>
    <xf numFmtId="0" fontId="5" fillId="0" borderId="0" xfId="5" applyNumberFormat="1" applyFont="1" applyAlignment="1" applyProtection="1">
      <alignment horizontal="right" vertical="center"/>
      <protection locked="0"/>
    </xf>
    <xf numFmtId="0" fontId="16" fillId="4" borderId="3" xfId="5" applyNumberFormat="1" applyFont="1" applyFill="1" applyBorder="1" applyAlignment="1" applyProtection="1">
      <alignment horizontal="center" vertical="center"/>
      <protection locked="0"/>
    </xf>
    <xf numFmtId="49" fontId="60" fillId="0" borderId="0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NumberFormat="1" applyFont="1" applyAlignment="1" applyProtection="1">
      <alignment horizontal="center" vertical="center"/>
      <protection locked="0"/>
    </xf>
    <xf numFmtId="0" fontId="15" fillId="0" borderId="4" xfId="5" applyNumberFormat="1" applyFont="1" applyFill="1" applyBorder="1" applyAlignment="1" applyProtection="1">
      <alignment horizontal="center" vertical="center"/>
    </xf>
    <xf numFmtId="0" fontId="18" fillId="4" borderId="5" xfId="5" applyNumberFormat="1" applyFont="1" applyFill="1" applyBorder="1" applyAlignment="1" applyProtection="1">
      <alignment horizontal="center" vertical="center"/>
      <protection locked="0"/>
    </xf>
    <xf numFmtId="0" fontId="7" fillId="7" borderId="0" xfId="5" applyNumberFormat="1" applyFont="1" applyFill="1" applyBorder="1" applyAlignment="1" applyProtection="1">
      <alignment horizontal="center" vertical="center"/>
      <protection locked="0"/>
    </xf>
    <xf numFmtId="0" fontId="18" fillId="8" borderId="0" xfId="5" applyNumberFormat="1" applyFont="1" applyFill="1" applyAlignment="1" applyProtection="1">
      <alignment horizontal="center" vertical="center"/>
      <protection locked="0"/>
    </xf>
    <xf numFmtId="0" fontId="8" fillId="8" borderId="0" xfId="5" applyNumberFormat="1" applyFont="1" applyFill="1" applyBorder="1" applyAlignment="1" applyProtection="1">
      <alignment horizontal="left" vertical="center"/>
      <protection locked="0"/>
    </xf>
    <xf numFmtId="0" fontId="8" fillId="8" borderId="6" xfId="5" applyNumberFormat="1" applyFont="1" applyFill="1" applyBorder="1" applyAlignment="1" applyProtection="1">
      <alignment horizontal="left" vertical="center"/>
      <protection locked="0"/>
    </xf>
    <xf numFmtId="0" fontId="5" fillId="0" borderId="0" xfId="5" applyNumberFormat="1" applyFont="1" applyBorder="1" applyAlignment="1" applyProtection="1">
      <alignment horizontal="left" vertical="center"/>
      <protection locked="0"/>
    </xf>
    <xf numFmtId="0" fontId="13" fillId="0" borderId="4" xfId="5" applyNumberFormat="1" applyFont="1" applyBorder="1" applyAlignment="1" applyProtection="1">
      <alignment horizontal="right" vertical="center"/>
      <protection locked="0"/>
    </xf>
    <xf numFmtId="0" fontId="19" fillId="0" borderId="0" xfId="5" applyNumberFormat="1" applyFont="1" applyFill="1" applyBorder="1" applyAlignment="1" applyProtection="1">
      <alignment horizontal="center" vertical="center"/>
      <protection locked="0"/>
    </xf>
    <xf numFmtId="49" fontId="6" fillId="0" borderId="0" xfId="5" applyNumberFormat="1" applyFont="1" applyFill="1" applyBorder="1" applyAlignment="1" applyProtection="1">
      <alignment horizontal="left" vertical="center"/>
      <protection locked="0"/>
    </xf>
    <xf numFmtId="0" fontId="5" fillId="0" borderId="7" xfId="5" applyNumberFormat="1" applyFont="1" applyBorder="1" applyAlignment="1" applyProtection="1">
      <alignment horizontal="center" vertical="center"/>
      <protection locked="0"/>
    </xf>
    <xf numFmtId="0" fontId="5" fillId="0" borderId="7" xfId="5" applyNumberFormat="1" applyFont="1" applyBorder="1" applyAlignment="1" applyProtection="1">
      <alignment horizontal="left" vertical="center"/>
      <protection locked="0"/>
    </xf>
    <xf numFmtId="0" fontId="11" fillId="0" borderId="7" xfId="5" applyNumberFormat="1" applyFont="1" applyBorder="1" applyAlignment="1" applyProtection="1">
      <alignment horizontal="right" vertical="center"/>
      <protection locked="0"/>
    </xf>
    <xf numFmtId="0" fontId="31" fillId="0" borderId="4" xfId="5" applyNumberFormat="1" applyFont="1" applyFill="1" applyBorder="1" applyAlignment="1" applyProtection="1">
      <alignment horizontal="center" vertical="center"/>
      <protection locked="0"/>
    </xf>
    <xf numFmtId="0" fontId="19" fillId="0" borderId="0" xfId="5" applyNumberFormat="1" applyFont="1" applyBorder="1" applyAlignment="1" applyProtection="1">
      <alignment horizontal="center" vertical="center"/>
      <protection locked="0"/>
    </xf>
    <xf numFmtId="0" fontId="5" fillId="0" borderId="0" xfId="5" applyNumberFormat="1" applyFont="1" applyBorder="1" applyAlignment="1" applyProtection="1">
      <alignment horizontal="right" vertical="center"/>
      <protection locked="0"/>
    </xf>
    <xf numFmtId="0" fontId="7" fillId="4" borderId="0" xfId="5" applyNumberFormat="1" applyFont="1" applyFill="1" applyBorder="1" applyAlignment="1" applyProtection="1">
      <alignment horizontal="center" vertical="center"/>
      <protection locked="0"/>
    </xf>
    <xf numFmtId="0" fontId="15" fillId="0" borderId="0" xfId="5" applyNumberFormat="1" applyFont="1" applyFill="1" applyBorder="1" applyAlignment="1" applyProtection="1">
      <alignment horizontal="center" vertical="center"/>
      <protection locked="0"/>
    </xf>
    <xf numFmtId="0" fontId="18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4" xfId="5" applyNumberFormat="1" applyFont="1" applyFill="1" applyBorder="1" applyAlignment="1" applyProtection="1">
      <alignment vertical="center"/>
      <protection locked="0"/>
    </xf>
    <xf numFmtId="0" fontId="18" fillId="0" borderId="0" xfId="5" applyNumberFormat="1" applyFont="1" applyFill="1" applyBorder="1" applyAlignment="1" applyProtection="1">
      <alignment horizontal="right" vertical="center"/>
      <protection locked="0"/>
    </xf>
    <xf numFmtId="0" fontId="5" fillId="4" borderId="0" xfId="5" applyNumberFormat="1" applyFont="1" applyFill="1" applyAlignment="1" applyProtection="1">
      <alignment horizontal="center" vertical="center"/>
      <protection locked="0"/>
    </xf>
    <xf numFmtId="0" fontId="7" fillId="7" borderId="2" xfId="5" applyNumberFormat="1" applyFont="1" applyFill="1" applyBorder="1" applyAlignment="1" applyProtection="1">
      <alignment horizontal="center" vertical="center"/>
      <protection locked="0"/>
    </xf>
    <xf numFmtId="0" fontId="13" fillId="0" borderId="4" xfId="5" applyNumberFormat="1" applyFont="1" applyFill="1" applyBorder="1" applyAlignment="1" applyProtection="1">
      <alignment horizontal="right" vertical="center"/>
      <protection locked="0"/>
    </xf>
    <xf numFmtId="0" fontId="13" fillId="0" borderId="0" xfId="5" applyNumberFormat="1" applyFont="1" applyBorder="1" applyAlignment="1" applyProtection="1">
      <alignment horizontal="right" vertical="center"/>
      <protection locked="0"/>
    </xf>
    <xf numFmtId="0" fontId="37" fillId="0" borderId="4" xfId="5" applyNumberFormat="1" applyFont="1" applyFill="1" applyBorder="1" applyAlignment="1" applyProtection="1">
      <alignment horizontal="center" vertical="center"/>
      <protection locked="0"/>
    </xf>
    <xf numFmtId="0" fontId="19" fillId="0" borderId="0" xfId="5" applyNumberFormat="1" applyFont="1" applyFill="1" applyBorder="1" applyAlignment="1" applyProtection="1">
      <alignment horizontal="right" vertical="center"/>
      <protection locked="0"/>
    </xf>
    <xf numFmtId="0" fontId="5" fillId="0" borderId="4" xfId="5" applyNumberFormat="1" applyFont="1" applyFill="1" applyBorder="1" applyAlignment="1" applyProtection="1">
      <alignment horizontal="right" vertical="center"/>
      <protection locked="0"/>
    </xf>
    <xf numFmtId="0" fontId="5" fillId="0" borderId="0" xfId="5" applyNumberFormat="1" applyFont="1" applyFill="1" applyBorder="1" applyAlignment="1" applyProtection="1">
      <alignment horizontal="right" vertical="center"/>
      <protection locked="0"/>
    </xf>
    <xf numFmtId="0" fontId="7" fillId="4" borderId="0" xfId="5" applyNumberFormat="1" applyFont="1" applyFill="1" applyAlignment="1" applyProtection="1">
      <alignment horizontal="center" vertical="center"/>
      <protection locked="0"/>
    </xf>
    <xf numFmtId="0" fontId="8" fillId="4" borderId="4" xfId="5" applyNumberFormat="1" applyFont="1" applyFill="1" applyBorder="1" applyAlignment="1" applyProtection="1">
      <alignment horizontal="left" vertical="center"/>
      <protection locked="0"/>
    </xf>
    <xf numFmtId="0" fontId="15" fillId="0" borderId="4" xfId="5" applyNumberFormat="1" applyFont="1" applyFill="1" applyBorder="1" applyAlignment="1" applyProtection="1">
      <alignment horizontal="center" vertical="center"/>
      <protection locked="0"/>
    </xf>
    <xf numFmtId="0" fontId="8" fillId="0" borderId="4" xfId="5" applyNumberFormat="1" applyFont="1" applyFill="1" applyBorder="1" applyAlignment="1" applyProtection="1">
      <alignment vertical="center"/>
      <protection locked="0"/>
    </xf>
    <xf numFmtId="0" fontId="18" fillId="0" borderId="3" xfId="5" applyNumberFormat="1" applyFont="1" applyFill="1" applyBorder="1" applyAlignment="1" applyProtection="1">
      <alignment horizontal="right" vertical="center"/>
      <protection locked="0"/>
    </xf>
    <xf numFmtId="0" fontId="19" fillId="0" borderId="3" xfId="5" applyNumberFormat="1" applyFont="1" applyBorder="1" applyAlignment="1" applyProtection="1">
      <alignment horizontal="right" vertical="center"/>
      <protection locked="0"/>
    </xf>
    <xf numFmtId="0" fontId="5" fillId="0" borderId="4" xfId="5" applyNumberFormat="1" applyFont="1" applyBorder="1" applyAlignment="1" applyProtection="1">
      <alignment horizontal="right" vertical="center"/>
      <protection locked="0"/>
    </xf>
    <xf numFmtId="0" fontId="5" fillId="0" borderId="2" xfId="5" applyNumberFormat="1" applyFont="1" applyBorder="1" applyAlignment="1" applyProtection="1">
      <alignment horizontal="center" vertical="center"/>
      <protection locked="0"/>
    </xf>
    <xf numFmtId="0" fontId="5" fillId="0" borderId="2" xfId="5" applyNumberFormat="1" applyFont="1" applyBorder="1" applyAlignment="1" applyProtection="1">
      <alignment horizontal="left" vertical="center"/>
      <protection locked="0"/>
    </xf>
    <xf numFmtId="0" fontId="11" fillId="0" borderId="2" xfId="5" applyNumberFormat="1" applyFont="1" applyBorder="1" applyAlignment="1" applyProtection="1">
      <alignment horizontal="right" vertical="center"/>
      <protection locked="0"/>
    </xf>
    <xf numFmtId="0" fontId="19" fillId="0" borderId="3" xfId="5" applyNumberFormat="1" applyFont="1" applyFill="1" applyBorder="1" applyAlignment="1" applyProtection="1">
      <alignment horizontal="right" vertical="center"/>
      <protection locked="0"/>
    </xf>
    <xf numFmtId="0" fontId="8" fillId="8" borderId="8" xfId="5" applyNumberFormat="1" applyFont="1" applyFill="1" applyBorder="1" applyAlignment="1" applyProtection="1">
      <alignment horizontal="left" vertical="center"/>
      <protection locked="0"/>
    </xf>
    <xf numFmtId="0" fontId="3" fillId="0" borderId="0" xfId="5" applyNumberFormat="1" applyFont="1" applyFill="1" applyBorder="1" applyAlignment="1" applyProtection="1">
      <alignment vertical="center"/>
      <protection locked="0"/>
    </xf>
    <xf numFmtId="0" fontId="11" fillId="0" borderId="0" xfId="5" applyNumberFormat="1" applyFont="1" applyAlignment="1" applyProtection="1">
      <alignment horizontal="right" vertical="center"/>
      <protection locked="0"/>
    </xf>
    <xf numFmtId="0" fontId="5" fillId="0" borderId="0" xfId="5" applyNumberFormat="1" applyFont="1" applyFill="1" applyAlignment="1" applyProtection="1">
      <alignment horizontal="left" vertical="center"/>
      <protection locked="0"/>
    </xf>
    <xf numFmtId="49" fontId="5" fillId="0" borderId="0" xfId="5" applyNumberFormat="1" applyFont="1" applyAlignment="1">
      <alignment horizontal="left" vertical="center"/>
    </xf>
    <xf numFmtId="0" fontId="36" fillId="0" borderId="0" xfId="5" applyNumberFormat="1" applyFont="1" applyFill="1" applyBorder="1" applyAlignment="1">
      <alignment horizontal="center" vertical="center"/>
    </xf>
    <xf numFmtId="0" fontId="36" fillId="0" borderId="0" xfId="5" applyNumberFormat="1" applyFont="1" applyFill="1" applyBorder="1" applyAlignment="1">
      <alignment horizontal="left" vertical="center"/>
    </xf>
    <xf numFmtId="0" fontId="5" fillId="0" borderId="0" xfId="5" applyNumberFormat="1" applyFont="1" applyBorder="1" applyAlignment="1" applyProtection="1">
      <alignment horizontal="center" vertical="center"/>
      <protection locked="0"/>
    </xf>
    <xf numFmtId="0" fontId="5" fillId="4" borderId="0" xfId="5" applyNumberFormat="1" applyFont="1" applyFill="1" applyBorder="1" applyAlignment="1" applyProtection="1">
      <alignment horizontal="center" vertical="center"/>
      <protection locked="0"/>
    </xf>
    <xf numFmtId="0" fontId="5" fillId="0" borderId="0" xfId="5" applyNumberFormat="1" applyFont="1" applyFill="1" applyBorder="1" applyAlignment="1" applyProtection="1">
      <alignment horizontal="left" vertical="center"/>
      <protection locked="0"/>
    </xf>
    <xf numFmtId="0" fontId="8" fillId="0" borderId="2" xfId="5" applyNumberFormat="1" applyFont="1" applyFill="1" applyBorder="1" applyAlignment="1" applyProtection="1">
      <alignment horizontal="left" vertical="center"/>
      <protection locked="0"/>
    </xf>
    <xf numFmtId="49" fontId="13" fillId="0" borderId="0" xfId="5" applyNumberFormat="1" applyFont="1" applyAlignment="1" applyProtection="1">
      <alignment horizontal="center" vertical="center"/>
      <protection locked="0"/>
    </xf>
    <xf numFmtId="0" fontId="8" fillId="0" borderId="0" xfId="5" applyNumberFormat="1" applyFont="1" applyFill="1" applyBorder="1" applyAlignment="1" applyProtection="1">
      <alignment horizontal="left" vertical="center"/>
      <protection locked="0"/>
    </xf>
    <xf numFmtId="0" fontId="2" fillId="0" borderId="9" xfId="4" applyFont="1" applyFill="1" applyBorder="1"/>
    <xf numFmtId="0" fontId="2" fillId="0" borderId="10" xfId="4" applyFont="1" applyFill="1" applyBorder="1"/>
    <xf numFmtId="0" fontId="2" fillId="0" borderId="11" xfId="4" applyFont="1" applyFill="1" applyBorder="1"/>
    <xf numFmtId="0" fontId="2" fillId="0" borderId="0" xfId="4" applyFont="1" applyFill="1" applyBorder="1"/>
    <xf numFmtId="0" fontId="2" fillId="0" borderId="0" xfId="4" applyFont="1" applyFill="1"/>
    <xf numFmtId="0" fontId="38" fillId="0" borderId="12" xfId="4" applyFont="1" applyFill="1" applyBorder="1"/>
    <xf numFmtId="0" fontId="39" fillId="0" borderId="0" xfId="4" applyFont="1" applyFill="1" applyBorder="1"/>
    <xf numFmtId="0" fontId="38" fillId="0" borderId="0" xfId="4" applyFont="1" applyFill="1" applyBorder="1"/>
    <xf numFmtId="0" fontId="39" fillId="0" borderId="0" xfId="4" applyFont="1" applyFill="1" applyBorder="1" applyAlignment="1">
      <alignment horizontal="right"/>
    </xf>
    <xf numFmtId="0" fontId="38" fillId="0" borderId="13" xfId="4" applyFont="1" applyFill="1" applyBorder="1"/>
    <xf numFmtId="0" fontId="38" fillId="0" borderId="0" xfId="4" applyFont="1" applyFill="1"/>
    <xf numFmtId="0" fontId="2" fillId="0" borderId="12" xfId="4" applyFont="1" applyFill="1" applyBorder="1"/>
    <xf numFmtId="0" fontId="2" fillId="0" borderId="13" xfId="4" applyFont="1" applyFill="1" applyBorder="1" applyProtection="1">
      <protection hidden="1"/>
    </xf>
    <xf numFmtId="0" fontId="2" fillId="0" borderId="0" xfId="4" applyFont="1" applyFill="1" applyBorder="1" applyProtection="1">
      <protection hidden="1"/>
    </xf>
    <xf numFmtId="0" fontId="2" fillId="0" borderId="12" xfId="4" applyFont="1" applyFill="1" applyBorder="1" applyProtection="1">
      <protection hidden="1"/>
    </xf>
    <xf numFmtId="0" fontId="2" fillId="0" borderId="4" xfId="4" applyFont="1" applyFill="1" applyBorder="1"/>
    <xf numFmtId="0" fontId="26" fillId="0" borderId="0" xfId="4" applyFont="1" applyFill="1" applyAlignment="1">
      <alignment horizontal="center" vertical="center"/>
    </xf>
    <xf numFmtId="0" fontId="42" fillId="0" borderId="0" xfId="4" applyFont="1" applyFill="1" applyBorder="1" applyAlignment="1" applyProtection="1">
      <protection hidden="1"/>
    </xf>
    <xf numFmtId="0" fontId="2" fillId="0" borderId="12" xfId="4" applyFont="1" applyFill="1" applyBorder="1" applyAlignment="1">
      <alignment shrinkToFit="1"/>
    </xf>
    <xf numFmtId="0" fontId="2" fillId="0" borderId="0" xfId="4" applyNumberFormat="1" applyFont="1" applyFill="1" applyBorder="1" applyAlignment="1" applyProtection="1">
      <alignment shrinkToFit="1"/>
      <protection hidden="1"/>
    </xf>
    <xf numFmtId="0" fontId="2" fillId="0" borderId="13" xfId="4" applyNumberFormat="1" applyFont="1" applyFill="1" applyBorder="1" applyAlignment="1" applyProtection="1">
      <alignment shrinkToFit="1"/>
      <protection hidden="1"/>
    </xf>
    <xf numFmtId="0" fontId="2" fillId="0" borderId="4" xfId="4" applyNumberFormat="1" applyFont="1" applyFill="1" applyBorder="1" applyAlignment="1" applyProtection="1">
      <alignment shrinkToFit="1"/>
      <protection hidden="1"/>
    </xf>
    <xf numFmtId="0" fontId="43" fillId="0" borderId="0" xfId="4" applyFont="1" applyFill="1" applyBorder="1" applyAlignment="1" applyProtection="1">
      <alignment horizontal="right" vertical="center"/>
      <protection hidden="1"/>
    </xf>
    <xf numFmtId="0" fontId="2" fillId="0" borderId="0" xfId="4" applyFont="1" applyFill="1" applyAlignment="1">
      <alignment shrinkToFit="1"/>
    </xf>
    <xf numFmtId="0" fontId="2" fillId="0" borderId="12" xfId="4" applyFont="1" applyFill="1" applyBorder="1" applyAlignment="1">
      <alignment vertical="center"/>
    </xf>
    <xf numFmtId="0" fontId="44" fillId="0" borderId="14" xfId="4" applyFont="1" applyFill="1" applyBorder="1" applyAlignment="1" applyProtection="1">
      <alignment vertical="center"/>
      <protection hidden="1"/>
    </xf>
    <xf numFmtId="0" fontId="2" fillId="0" borderId="15" xfId="4" applyFont="1" applyFill="1" applyBorder="1" applyAlignment="1" applyProtection="1">
      <alignment vertical="center"/>
      <protection hidden="1"/>
    </xf>
    <xf numFmtId="0" fontId="2" fillId="0" borderId="16" xfId="4" applyFont="1" applyFill="1" applyBorder="1" applyAlignment="1" applyProtection="1">
      <alignment vertical="center"/>
      <protection hidden="1"/>
    </xf>
    <xf numFmtId="0" fontId="2" fillId="0" borderId="0" xfId="4" applyFont="1" applyFill="1" applyBorder="1" applyAlignment="1" applyProtection="1">
      <alignment vertical="center"/>
      <protection hidden="1"/>
    </xf>
    <xf numFmtId="0" fontId="2" fillId="0" borderId="13" xfId="4" applyFont="1" applyFill="1" applyBorder="1" applyAlignment="1" applyProtection="1">
      <alignment vertical="center"/>
      <protection hidden="1"/>
    </xf>
    <xf numFmtId="0" fontId="2" fillId="0" borderId="12" xfId="4" applyFont="1" applyFill="1" applyBorder="1" applyAlignment="1" applyProtection="1">
      <alignment vertical="center"/>
      <protection hidden="1"/>
    </xf>
    <xf numFmtId="0" fontId="2" fillId="0" borderId="4" xfId="4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 shrinkToFit="1"/>
    </xf>
    <xf numFmtId="0" fontId="2" fillId="0" borderId="0" xfId="4" applyFont="1" applyFill="1" applyBorder="1" applyAlignment="1">
      <alignment vertical="center"/>
    </xf>
    <xf numFmtId="0" fontId="2" fillId="0" borderId="0" xfId="4" applyFont="1" applyFill="1" applyBorder="1" applyAlignment="1" applyProtection="1">
      <alignment shrinkToFit="1"/>
      <protection hidden="1"/>
    </xf>
    <xf numFmtId="0" fontId="2" fillId="0" borderId="13" xfId="4" applyFont="1" applyFill="1" applyBorder="1" applyAlignment="1" applyProtection="1">
      <alignment shrinkToFit="1"/>
      <protection hidden="1"/>
    </xf>
    <xf numFmtId="0" fontId="2" fillId="0" borderId="12" xfId="4" applyFont="1" applyFill="1" applyBorder="1" applyAlignment="1" applyProtection="1">
      <alignment shrinkToFit="1"/>
      <protection hidden="1"/>
    </xf>
    <xf numFmtId="0" fontId="2" fillId="0" borderId="4" xfId="4" applyFont="1" applyFill="1" applyBorder="1" applyAlignment="1">
      <alignment shrinkToFit="1"/>
    </xf>
    <xf numFmtId="0" fontId="2" fillId="0" borderId="13" xfId="4" applyFont="1" applyFill="1" applyBorder="1" applyAlignment="1">
      <alignment vertical="center"/>
    </xf>
    <xf numFmtId="0" fontId="26" fillId="0" borderId="0" xfId="4" applyFont="1" applyFill="1" applyBorder="1" applyAlignment="1">
      <alignment horizontal="center" vertical="center"/>
    </xf>
    <xf numFmtId="0" fontId="2" fillId="0" borderId="13" xfId="4" applyFont="1" applyFill="1" applyBorder="1"/>
    <xf numFmtId="0" fontId="39" fillId="0" borderId="0" xfId="4" applyFont="1" applyFill="1" applyBorder="1" applyAlignment="1" applyProtection="1">
      <alignment vertical="center"/>
      <protection hidden="1"/>
    </xf>
    <xf numFmtId="0" fontId="26" fillId="0" borderId="0" xfId="4" applyFont="1" applyFill="1" applyAlignment="1">
      <alignment horizontal="center" vertical="center" shrinkToFit="1"/>
    </xf>
    <xf numFmtId="0" fontId="2" fillId="0" borderId="17" xfId="4" applyFont="1" applyFill="1" applyBorder="1"/>
    <xf numFmtId="0" fontId="2" fillId="0" borderId="0" xfId="4" applyFont="1" applyFill="1" applyBorder="1" applyAlignment="1">
      <alignment horizontal="center"/>
    </xf>
    <xf numFmtId="0" fontId="46" fillId="0" borderId="18" xfId="4" applyFont="1" applyFill="1" applyBorder="1" applyAlignment="1">
      <alignment horizontal="left"/>
    </xf>
    <xf numFmtId="0" fontId="2" fillId="0" borderId="19" xfId="4" applyFont="1" applyFill="1" applyBorder="1" applyAlignment="1">
      <alignment horizontal="center"/>
    </xf>
    <xf numFmtId="0" fontId="46" fillId="0" borderId="20" xfId="4" applyFont="1" applyFill="1" applyBorder="1" applyAlignment="1">
      <alignment horizontal="left"/>
    </xf>
    <xf numFmtId="0" fontId="2" fillId="0" borderId="21" xfId="4" applyFont="1" applyFill="1" applyBorder="1" applyAlignment="1">
      <alignment horizontal="center"/>
    </xf>
    <xf numFmtId="0" fontId="2" fillId="0" borderId="20" xfId="4" applyFont="1" applyFill="1" applyBorder="1"/>
    <xf numFmtId="0" fontId="46" fillId="0" borderId="18" xfId="4" applyFont="1" applyFill="1" applyBorder="1" applyAlignment="1">
      <alignment horizontal="right"/>
    </xf>
    <xf numFmtId="0" fontId="2" fillId="0" borderId="22" xfId="4" applyFont="1" applyFill="1" applyBorder="1"/>
    <xf numFmtId="0" fontId="2" fillId="0" borderId="23" xfId="4" applyFont="1" applyFill="1" applyBorder="1"/>
    <xf numFmtId="0" fontId="2" fillId="0" borderId="24" xfId="4" applyFont="1" applyFill="1" applyBorder="1"/>
    <xf numFmtId="0" fontId="2" fillId="0" borderId="25" xfId="4" applyFont="1" applyFill="1" applyBorder="1" applyAlignment="1">
      <alignment vertical="center"/>
    </xf>
    <xf numFmtId="0" fontId="2" fillId="0" borderId="13" xfId="4" applyFont="1" applyFill="1" applyBorder="1" applyAlignment="1">
      <alignment shrinkToFit="1"/>
    </xf>
    <xf numFmtId="0" fontId="35" fillId="0" borderId="0" xfId="5" applyNumberFormat="1" applyFont="1" applyFill="1" applyBorder="1" applyAlignment="1" applyProtection="1">
      <alignment horizontal="center" vertical="center"/>
      <protection locked="0"/>
    </xf>
    <xf numFmtId="49" fontId="5" fillId="0" borderId="0" xfId="5" applyNumberFormat="1" applyFont="1" applyFill="1" applyBorder="1" applyAlignment="1">
      <alignment horizontal="left" vertical="center"/>
    </xf>
    <xf numFmtId="0" fontId="5" fillId="0" borderId="0" xfId="5" applyNumberFormat="1" applyFont="1" applyFill="1" applyBorder="1" applyAlignment="1" applyProtection="1">
      <alignment horizontal="center" vertical="center"/>
      <protection locked="0"/>
    </xf>
    <xf numFmtId="20" fontId="6" fillId="0" borderId="0" xfId="5" applyNumberFormat="1" applyFont="1" applyFill="1" applyBorder="1" applyAlignment="1" applyProtection="1">
      <alignment horizontal="left" vertical="center"/>
      <protection locked="0"/>
    </xf>
    <xf numFmtId="0" fontId="37" fillId="0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4" xfId="5" applyNumberFormat="1" applyFont="1" applyFill="1" applyBorder="1" applyAlignment="1" applyProtection="1">
      <alignment horizontal="left" vertical="center"/>
      <protection locked="0"/>
    </xf>
    <xf numFmtId="49" fontId="61" fillId="0" borderId="0" xfId="5" applyNumberFormat="1" applyFont="1" applyFill="1" applyBorder="1" applyAlignment="1" applyProtection="1">
      <alignment horizontal="center" vertical="center"/>
      <protection locked="0"/>
    </xf>
    <xf numFmtId="0" fontId="7" fillId="0" borderId="0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NumberFormat="1" applyFont="1" applyFill="1" applyProtection="1">
      <protection locked="0"/>
    </xf>
    <xf numFmtId="0" fontId="2" fillId="0" borderId="0" xfId="5" applyFont="1" applyFill="1"/>
    <xf numFmtId="0" fontId="7" fillId="7" borderId="8" xfId="5" applyNumberFormat="1" applyFont="1" applyFill="1" applyBorder="1" applyAlignment="1" applyProtection="1">
      <alignment horizontal="center" vertical="center"/>
      <protection locked="0"/>
    </xf>
    <xf numFmtId="0" fontId="8" fillId="8" borderId="8" xfId="5" applyNumberFormat="1" applyFont="1" applyFill="1" applyBorder="1" applyAlignment="1" applyProtection="1">
      <alignment horizontal="left" vertical="center"/>
      <protection locked="0"/>
    </xf>
    <xf numFmtId="0" fontId="16" fillId="4" borderId="0" xfId="5" applyNumberFormat="1" applyFont="1" applyFill="1" applyBorder="1" applyAlignment="1" applyProtection="1">
      <alignment horizontal="center" vertical="center"/>
      <protection locked="0"/>
    </xf>
    <xf numFmtId="0" fontId="18" fillId="4" borderId="2" xfId="5" applyNumberFormat="1" applyFont="1" applyFill="1" applyBorder="1" applyAlignment="1" applyProtection="1">
      <alignment horizontal="center" vertical="center"/>
      <protection locked="0"/>
    </xf>
    <xf numFmtId="0" fontId="2" fillId="0" borderId="0" xfId="5" applyFont="1" applyFill="1" applyBorder="1"/>
    <xf numFmtId="0" fontId="44" fillId="0" borderId="26" xfId="4" applyFont="1" applyFill="1" applyBorder="1" applyAlignment="1" applyProtection="1">
      <alignment vertical="center"/>
      <protection hidden="1"/>
    </xf>
    <xf numFmtId="0" fontId="2" fillId="0" borderId="27" xfId="4" applyFont="1" applyFill="1" applyBorder="1" applyAlignment="1" applyProtection="1">
      <alignment vertical="center"/>
      <protection hidden="1"/>
    </xf>
    <xf numFmtId="0" fontId="11" fillId="0" borderId="0" xfId="4" applyNumberFormat="1" applyFont="1" applyAlignment="1" applyProtection="1">
      <alignment horizontal="right" vertical="center"/>
      <protection locked="0"/>
    </xf>
    <xf numFmtId="0" fontId="5" fillId="0" borderId="3" xfId="5" applyNumberFormat="1" applyFont="1" applyBorder="1" applyAlignment="1" applyProtection="1">
      <alignment horizontal="left" vertical="center"/>
      <protection locked="0"/>
    </xf>
    <xf numFmtId="0" fontId="6" fillId="8" borderId="0" xfId="5" applyNumberFormat="1" applyFont="1" applyFill="1" applyBorder="1" applyAlignment="1" applyProtection="1">
      <alignment horizontal="left" vertical="center"/>
      <protection locked="0"/>
    </xf>
    <xf numFmtId="0" fontId="6" fillId="8" borderId="8" xfId="5" applyNumberFormat="1" applyFont="1" applyFill="1" applyBorder="1" applyAlignment="1" applyProtection="1">
      <alignment horizontal="left" vertical="center"/>
      <protection locked="0"/>
    </xf>
    <xf numFmtId="0" fontId="62" fillId="8" borderId="8" xfId="5" applyNumberFormat="1" applyFont="1" applyFill="1" applyBorder="1" applyAlignment="1" applyProtection="1">
      <alignment horizontal="left" vertical="center"/>
      <protection locked="0"/>
    </xf>
    <xf numFmtId="0" fontId="2" fillId="0" borderId="0" xfId="5" applyNumberFormat="1" applyFont="1" applyBorder="1"/>
    <xf numFmtId="0" fontId="2" fillId="0" borderId="0" xfId="5" applyNumberFormat="1" applyFont="1" applyBorder="1" applyAlignment="1">
      <alignment horizontal="right"/>
    </xf>
    <xf numFmtId="49" fontId="33" fillId="0" borderId="0" xfId="5" applyNumberFormat="1" applyFont="1" applyBorder="1" applyAlignment="1">
      <alignment horizontal="center"/>
    </xf>
    <xf numFmtId="0" fontId="2" fillId="0" borderId="0" xfId="5" applyNumberFormat="1" applyFont="1" applyBorder="1" applyAlignment="1"/>
    <xf numFmtId="0" fontId="49" fillId="0" borderId="0" xfId="1" applyNumberFormat="1" applyFont="1" applyAlignment="1" applyProtection="1">
      <alignment horizontal="left" vertical="center" indent="1"/>
      <protection locked="0"/>
    </xf>
    <xf numFmtId="0" fontId="45" fillId="0" borderId="18" xfId="4" applyFont="1" applyFill="1" applyBorder="1" applyAlignment="1">
      <alignment horizontal="center" vertical="center"/>
    </xf>
    <xf numFmtId="0" fontId="50" fillId="0" borderId="20" xfId="4" applyFont="1" applyFill="1" applyBorder="1" applyAlignment="1">
      <alignment horizontal="center" vertical="center"/>
    </xf>
    <xf numFmtId="0" fontId="50" fillId="0" borderId="18" xfId="4" applyFont="1" applyFill="1" applyBorder="1" applyAlignment="1">
      <alignment horizontal="center" vertical="center"/>
    </xf>
    <xf numFmtId="0" fontId="2" fillId="0" borderId="18" xfId="4" applyFont="1" applyFill="1" applyBorder="1"/>
    <xf numFmtId="0" fontId="2" fillId="0" borderId="19" xfId="4" applyFont="1" applyFill="1" applyBorder="1"/>
    <xf numFmtId="0" fontId="2" fillId="0" borderId="21" xfId="4" applyFont="1" applyFill="1" applyBorder="1"/>
    <xf numFmtId="0" fontId="42" fillId="0" borderId="28" xfId="4" applyNumberFormat="1" applyFont="1" applyFill="1" applyBorder="1" applyAlignment="1" applyProtection="1">
      <alignment horizontal="center" vertical="center" shrinkToFit="1"/>
      <protection hidden="1"/>
    </xf>
    <xf numFmtId="49" fontId="23" fillId="0" borderId="0" xfId="5" applyNumberFormat="1" applyFont="1" applyAlignment="1">
      <alignment horizontal="center" vertical="center"/>
    </xf>
    <xf numFmtId="0" fontId="23" fillId="0" borderId="0" xfId="5" applyNumberFormat="1" applyFont="1" applyAlignment="1">
      <alignment horizontal="center" vertical="center"/>
    </xf>
    <xf numFmtId="0" fontId="25" fillId="0" borderId="0" xfId="5" applyNumberFormat="1" applyFont="1" applyFill="1" applyBorder="1" applyAlignment="1">
      <alignment horizontal="center" vertical="center"/>
    </xf>
    <xf numFmtId="0" fontId="25" fillId="0" borderId="0" xfId="5" applyNumberFormat="1" applyFont="1" applyFill="1" applyBorder="1" applyAlignment="1">
      <alignment horizontal="left" vertical="center"/>
    </xf>
    <xf numFmtId="0" fontId="63" fillId="0" borderId="0" xfId="5" applyNumberFormat="1" applyFont="1" applyFill="1" applyAlignment="1">
      <alignment horizontal="center" vertical="center" shrinkToFit="1"/>
    </xf>
    <xf numFmtId="0" fontId="10" fillId="0" borderId="0" xfId="5" applyNumberFormat="1" applyFont="1" applyFill="1" applyBorder="1" applyAlignment="1">
      <alignment horizontal="center" vertical="center"/>
    </xf>
    <xf numFmtId="0" fontId="24" fillId="0" borderId="0" xfId="1" applyNumberFormat="1" applyFont="1" applyFill="1" applyAlignment="1">
      <alignment horizontal="right" vertical="center"/>
    </xf>
    <xf numFmtId="49" fontId="5" fillId="0" borderId="0" xfId="5" applyNumberFormat="1" applyFont="1" applyFill="1" applyAlignment="1">
      <alignment horizontal="left" vertical="center"/>
    </xf>
    <xf numFmtId="0" fontId="2" fillId="0" borderId="0" xfId="6" applyNumberFormat="1" applyFont="1" applyAlignment="1" applyProtection="1">
      <alignment horizontal="center"/>
      <protection locked="0"/>
    </xf>
    <xf numFmtId="0" fontId="20" fillId="6" borderId="29" xfId="6" applyNumberFormat="1" applyFont="1" applyFill="1" applyBorder="1" applyAlignment="1" applyProtection="1">
      <alignment horizontal="left" vertical="center"/>
      <protection locked="0"/>
    </xf>
    <xf numFmtId="14" fontId="11" fillId="0" borderId="0" xfId="6" applyNumberFormat="1" applyFont="1" applyFill="1" applyBorder="1" applyAlignment="1" applyProtection="1">
      <alignment horizontal="center" vertical="center"/>
      <protection locked="0"/>
    </xf>
    <xf numFmtId="0" fontId="20" fillId="6" borderId="31" xfId="6" applyNumberFormat="1" applyFont="1" applyFill="1" applyBorder="1" applyAlignment="1" applyProtection="1">
      <alignment horizontal="left" vertical="center"/>
      <protection locked="0"/>
    </xf>
    <xf numFmtId="0" fontId="20" fillId="6" borderId="33" xfId="6" applyNumberFormat="1" applyFont="1" applyFill="1" applyBorder="1" applyAlignment="1" applyProtection="1">
      <alignment horizontal="left" vertical="center"/>
      <protection locked="0"/>
    </xf>
    <xf numFmtId="14" fontId="65" fillId="0" borderId="0" xfId="6" applyNumberFormat="1" applyFont="1" applyFill="1" applyBorder="1" applyAlignment="1" applyProtection="1">
      <alignment horizontal="left" vertical="center" indent="1"/>
      <protection locked="0"/>
    </xf>
    <xf numFmtId="0" fontId="20" fillId="6" borderId="34" xfId="6" applyNumberFormat="1" applyFont="1" applyFill="1" applyBorder="1" applyAlignment="1" applyProtection="1">
      <alignment horizontal="left" vertical="center"/>
      <protection locked="0"/>
    </xf>
    <xf numFmtId="49" fontId="66" fillId="0" borderId="0" xfId="5" applyNumberFormat="1" applyFont="1" applyFill="1" applyBorder="1" applyAlignment="1" applyProtection="1">
      <alignment horizontal="center" vertical="center"/>
      <protection locked="0"/>
    </xf>
    <xf numFmtId="0" fontId="2" fillId="0" borderId="0" xfId="4" applyFont="1" applyFill="1" applyBorder="1" applyAlignment="1">
      <alignment shrinkToFit="1"/>
    </xf>
    <xf numFmtId="0" fontId="47" fillId="6" borderId="36" xfId="4" applyFont="1" applyFill="1" applyBorder="1" applyAlignment="1" applyProtection="1">
      <alignment horizontal="center" vertical="center"/>
      <protection locked="0"/>
    </xf>
    <xf numFmtId="0" fontId="26" fillId="6" borderId="37" xfId="4" applyFont="1" applyFill="1" applyBorder="1" applyAlignment="1" applyProtection="1">
      <alignment horizontal="center" vertical="center"/>
      <protection hidden="1"/>
    </xf>
    <xf numFmtId="0" fontId="52" fillId="0" borderId="0" xfId="4" applyFont="1" applyFill="1" applyAlignment="1" applyProtection="1">
      <alignment horizontal="center" vertical="center"/>
      <protection locked="0"/>
    </xf>
    <xf numFmtId="0" fontId="26" fillId="0" borderId="0" xfId="4" applyFont="1" applyFill="1" applyAlignment="1" applyProtection="1">
      <alignment horizontal="center" vertical="center"/>
      <protection locked="0"/>
    </xf>
    <xf numFmtId="0" fontId="47" fillId="6" borderId="38" xfId="4" applyFont="1" applyFill="1" applyBorder="1" applyAlignment="1" applyProtection="1">
      <alignment horizontal="center" vertical="center"/>
      <protection locked="0"/>
    </xf>
    <xf numFmtId="0" fontId="47" fillId="6" borderId="37" xfId="4" applyFont="1" applyFill="1" applyBorder="1" applyAlignment="1" applyProtection="1">
      <alignment horizontal="center" vertical="center"/>
      <protection locked="0"/>
    </xf>
    <xf numFmtId="0" fontId="47" fillId="6" borderId="34" xfId="4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49" fontId="58" fillId="0" borderId="0" xfId="1" applyNumberFormat="1" applyFont="1" applyFill="1" applyBorder="1" applyAlignment="1" applyProtection="1">
      <alignment horizontal="center" vertical="center"/>
      <protection locked="0"/>
    </xf>
    <xf numFmtId="14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24" fillId="0" borderId="0" xfId="1" applyNumberFormat="1" applyFont="1" applyFill="1" applyBorder="1" applyAlignment="1" applyProtection="1">
      <alignment horizontal="left" vertical="center" indent="1"/>
      <protection locked="0"/>
    </xf>
    <xf numFmtId="0" fontId="30" fillId="0" borderId="0" xfId="1" applyNumberFormat="1" applyFont="1" applyFill="1" applyBorder="1" applyAlignment="1" applyProtection="1">
      <alignment horizontal="right" vertical="center"/>
      <protection locked="0"/>
    </xf>
    <xf numFmtId="0" fontId="54" fillId="0" borderId="0" xfId="1" applyNumberFormat="1" applyFont="1" applyFill="1" applyBorder="1" applyAlignment="1" applyProtection="1">
      <alignment horizontal="right" vertical="center"/>
      <protection locked="0"/>
    </xf>
    <xf numFmtId="0" fontId="56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Alignment="1" applyProtection="1">
      <alignment horizontal="left" vertical="center" indent="1"/>
      <protection hidden="1"/>
    </xf>
    <xf numFmtId="0" fontId="49" fillId="0" borderId="0" xfId="1" applyNumberFormat="1" applyFont="1" applyAlignment="1" applyProtection="1">
      <alignment horizontal="left" vertical="center" indent="1"/>
      <protection hidden="1"/>
    </xf>
    <xf numFmtId="0" fontId="67" fillId="0" borderId="0" xfId="1" applyFont="1" applyAlignment="1" applyProtection="1">
      <alignment horizontal="left" vertical="center" indent="1"/>
      <protection hidden="1"/>
    </xf>
    <xf numFmtId="0" fontId="8" fillId="0" borderId="0" xfId="5" applyNumberFormat="1" applyFont="1" applyFill="1" applyBorder="1" applyAlignment="1" applyProtection="1">
      <alignment horizontal="left" vertical="center" indent="1"/>
      <protection hidden="1"/>
    </xf>
    <xf numFmtId="0" fontId="24" fillId="0" borderId="0" xfId="4" applyNumberFormat="1" applyFont="1" applyAlignment="1" applyProtection="1">
      <alignment horizontal="left" vertical="center"/>
      <protection hidden="1"/>
    </xf>
    <xf numFmtId="0" fontId="24" fillId="0" borderId="0" xfId="0" applyNumberFormat="1" applyFont="1" applyAlignment="1" applyProtection="1">
      <alignment horizontal="left" vertical="center"/>
      <protection hidden="1"/>
    </xf>
    <xf numFmtId="0" fontId="24" fillId="0" borderId="0" xfId="0" applyNumberFormat="1" applyFont="1" applyAlignment="1" applyProtection="1">
      <alignment horizontal="right" vertical="center"/>
      <protection hidden="1"/>
    </xf>
    <xf numFmtId="0" fontId="51" fillId="0" borderId="0" xfId="5" applyNumberFormat="1" applyFont="1" applyFill="1" applyBorder="1" applyAlignment="1" applyProtection="1">
      <alignment horizontal="right" vertical="center"/>
      <protection hidden="1"/>
    </xf>
    <xf numFmtId="0" fontId="51" fillId="0" borderId="0" xfId="5" applyNumberFormat="1" applyFont="1" applyFill="1" applyBorder="1" applyAlignment="1" applyProtection="1">
      <alignment horizontal="left" vertical="center"/>
      <protection hidden="1"/>
    </xf>
    <xf numFmtId="0" fontId="8" fillId="4" borderId="0" xfId="5" applyNumberFormat="1" applyFont="1" applyFill="1" applyBorder="1" applyAlignment="1" applyProtection="1">
      <alignment horizontal="left" vertical="center"/>
      <protection hidden="1"/>
    </xf>
    <xf numFmtId="0" fontId="8" fillId="4" borderId="4" xfId="5" applyNumberFormat="1" applyFont="1" applyFill="1" applyBorder="1" applyAlignment="1" applyProtection="1">
      <alignment horizontal="left" vertical="center"/>
      <protection hidden="1"/>
    </xf>
    <xf numFmtId="0" fontId="15" fillId="4" borderId="4" xfId="5" applyNumberFormat="1" applyFont="1" applyFill="1" applyBorder="1" applyAlignment="1" applyProtection="1">
      <alignment horizontal="center" vertical="center"/>
      <protection hidden="1"/>
    </xf>
    <xf numFmtId="0" fontId="36" fillId="0" borderId="1" xfId="5" applyNumberFormat="1" applyFont="1" applyBorder="1" applyAlignment="1" applyProtection="1">
      <alignment horizontal="left" vertical="center"/>
      <protection hidden="1"/>
    </xf>
    <xf numFmtId="0" fontId="3" fillId="0" borderId="0" xfId="1" applyNumberFormat="1" applyFont="1" applyFill="1" applyAlignment="1" applyProtection="1">
      <alignment horizontal="left" vertical="center" indent="1"/>
      <protection hidden="1"/>
    </xf>
    <xf numFmtId="0" fontId="36" fillId="6" borderId="1" xfId="5" applyNumberFormat="1" applyFont="1" applyFill="1" applyBorder="1" applyAlignment="1" applyProtection="1">
      <alignment horizontal="center" vertical="center"/>
      <protection locked="0"/>
    </xf>
    <xf numFmtId="20" fontId="6" fillId="8" borderId="0" xfId="5" applyNumberFormat="1" applyFont="1" applyFill="1" applyBorder="1" applyAlignment="1" applyProtection="1">
      <alignment horizontal="left" vertical="center"/>
      <protection locked="0"/>
    </xf>
    <xf numFmtId="0" fontId="72" fillId="0" borderId="0" xfId="5" applyNumberFormat="1" applyFont="1" applyFill="1" applyBorder="1" applyAlignment="1" applyProtection="1">
      <alignment horizontal="left" vertical="center"/>
      <protection locked="0"/>
    </xf>
    <xf numFmtId="0" fontId="73" fillId="0" borderId="0" xfId="5" applyNumberFormat="1" applyFont="1" applyFill="1" applyBorder="1" applyAlignment="1" applyProtection="1">
      <alignment vertical="center"/>
      <protection locked="0"/>
    </xf>
    <xf numFmtId="0" fontId="73" fillId="0" borderId="0" xfId="5" applyNumberFormat="1" applyFont="1" applyFill="1" applyBorder="1" applyAlignment="1" applyProtection="1">
      <alignment horizontal="left" vertical="center"/>
      <protection locked="0"/>
    </xf>
    <xf numFmtId="0" fontId="60" fillId="0" borderId="0" xfId="5" applyNumberFormat="1" applyFont="1" applyFill="1" applyBorder="1" applyAlignment="1" applyProtection="1">
      <alignment horizontal="right" vertical="center"/>
      <protection locked="0"/>
    </xf>
    <xf numFmtId="0" fontId="76" fillId="0" borderId="0" xfId="5" applyNumberFormat="1" applyFont="1" applyFill="1" applyBorder="1" applyAlignment="1" applyProtection="1">
      <alignment horizontal="center" vertical="center"/>
      <protection locked="0"/>
    </xf>
    <xf numFmtId="0" fontId="76" fillId="0" borderId="0" xfId="5" applyNumberFormat="1" applyFont="1" applyFill="1" applyBorder="1" applyAlignment="1" applyProtection="1">
      <alignment horizontal="right" vertical="center"/>
      <protection locked="0"/>
    </xf>
    <xf numFmtId="0" fontId="76" fillId="0" borderId="0" xfId="5" applyNumberFormat="1" applyFont="1" applyFill="1" applyBorder="1" applyAlignment="1" applyProtection="1">
      <alignment horizontal="left" vertical="center"/>
      <protection locked="0"/>
    </xf>
    <xf numFmtId="0" fontId="77" fillId="0" borderId="0" xfId="5" applyNumberFormat="1" applyFont="1" applyFill="1" applyBorder="1" applyAlignment="1" applyProtection="1">
      <alignment horizontal="center" vertical="center"/>
      <protection locked="0"/>
    </xf>
    <xf numFmtId="0" fontId="78" fillId="0" borderId="0" xfId="5" applyNumberFormat="1" applyFont="1" applyFill="1" applyBorder="1" applyAlignment="1">
      <alignment horizontal="center" vertical="center"/>
    </xf>
    <xf numFmtId="0" fontId="78" fillId="0" borderId="0" xfId="5" applyNumberFormat="1" applyFont="1" applyFill="1" applyBorder="1" applyAlignment="1">
      <alignment horizontal="left" vertical="center"/>
    </xf>
    <xf numFmtId="0" fontId="1" fillId="0" borderId="0" xfId="10" applyFill="1" applyAlignment="1"/>
    <xf numFmtId="0" fontId="1" fillId="0" borderId="0" xfId="10" applyAlignment="1"/>
    <xf numFmtId="0" fontId="1" fillId="0" borderId="0" xfId="10"/>
    <xf numFmtId="0" fontId="79" fillId="0" borderId="0" xfId="11" applyFont="1" applyAlignment="1"/>
    <xf numFmtId="0" fontId="80" fillId="10" borderId="37" xfId="11" applyFont="1" applyFill="1" applyBorder="1" applyAlignment="1">
      <alignment horizontal="center" vertical="center"/>
    </xf>
    <xf numFmtId="0" fontId="83" fillId="10" borderId="37" xfId="10" applyFont="1" applyFill="1" applyBorder="1" applyAlignment="1">
      <alignment horizontal="center" vertical="center"/>
    </xf>
    <xf numFmtId="0" fontId="53" fillId="0" borderId="0" xfId="10" applyFont="1" applyBorder="1" applyAlignment="1"/>
    <xf numFmtId="0" fontId="87" fillId="0" borderId="0" xfId="10" applyFont="1"/>
    <xf numFmtId="0" fontId="1" fillId="0" borderId="0" xfId="10" applyBorder="1" applyAlignment="1"/>
    <xf numFmtId="0" fontId="1" fillId="0" borderId="0" xfId="10" applyFill="1" applyBorder="1" applyAlignment="1"/>
    <xf numFmtId="0" fontId="75" fillId="0" borderId="0" xfId="10" applyFont="1" applyFill="1" applyBorder="1" applyAlignment="1"/>
    <xf numFmtId="0" fontId="1" fillId="0" borderId="0" xfId="10" applyFill="1"/>
    <xf numFmtId="0" fontId="87" fillId="0" borderId="0" xfId="10" applyFont="1" applyFill="1"/>
    <xf numFmtId="0" fontId="1" fillId="0" borderId="0" xfId="10" applyAlignment="1">
      <alignment horizontal="center"/>
    </xf>
    <xf numFmtId="0" fontId="90" fillId="0" borderId="0" xfId="10" applyFont="1" applyFill="1" applyAlignment="1"/>
    <xf numFmtId="0" fontId="90" fillId="0" borderId="0" xfId="10" applyFont="1" applyAlignment="1"/>
    <xf numFmtId="0" fontId="90" fillId="0" borderId="0" xfId="10" applyFont="1"/>
    <xf numFmtId="0" fontId="90" fillId="10" borderId="37" xfId="10" applyFont="1" applyFill="1" applyBorder="1" applyAlignment="1">
      <alignment horizontal="center"/>
    </xf>
    <xf numFmtId="0" fontId="90" fillId="11" borderId="49" xfId="10" applyFont="1" applyFill="1" applyBorder="1"/>
    <xf numFmtId="0" fontId="91" fillId="11" borderId="49" xfId="10" applyFont="1" applyFill="1" applyBorder="1"/>
    <xf numFmtId="0" fontId="92" fillId="11" borderId="37" xfId="10" applyFont="1" applyFill="1" applyBorder="1" applyAlignment="1">
      <alignment horizontal="center"/>
    </xf>
    <xf numFmtId="0" fontId="90" fillId="12" borderId="49" xfId="10" applyFont="1" applyFill="1" applyBorder="1"/>
    <xf numFmtId="0" fontId="91" fillId="12" borderId="49" xfId="10" applyFont="1" applyFill="1" applyBorder="1"/>
    <xf numFmtId="0" fontId="92" fillId="12" borderId="37" xfId="10" applyFont="1" applyFill="1" applyBorder="1" applyAlignment="1">
      <alignment horizontal="center"/>
    </xf>
    <xf numFmtId="0" fontId="90" fillId="0" borderId="0" xfId="10" applyFont="1" applyFill="1" applyBorder="1" applyAlignment="1">
      <alignment horizontal="center"/>
    </xf>
    <xf numFmtId="0" fontId="90" fillId="0" borderId="0" xfId="10" applyFont="1" applyFill="1" applyBorder="1"/>
    <xf numFmtId="0" fontId="91" fillId="0" borderId="0" xfId="10" applyFont="1" applyFill="1" applyBorder="1"/>
    <xf numFmtId="0" fontId="92" fillId="0" borderId="0" xfId="10" applyFont="1" applyFill="1" applyBorder="1" applyAlignment="1">
      <alignment horizontal="center"/>
    </xf>
    <xf numFmtId="0" fontId="21" fillId="0" borderId="0" xfId="4" applyNumberFormat="1" applyFont="1" applyFill="1" applyAlignment="1" applyProtection="1">
      <alignment horizontal="left" vertical="center" indent="1"/>
      <protection hidden="1"/>
    </xf>
    <xf numFmtId="0" fontId="87" fillId="0" borderId="0" xfId="10" applyFont="1" applyFill="1" applyAlignment="1"/>
    <xf numFmtId="0" fontId="74" fillId="0" borderId="0" xfId="10" applyFont="1" applyFill="1"/>
    <xf numFmtId="0" fontId="87" fillId="0" borderId="0" xfId="10" applyFont="1" applyAlignment="1"/>
    <xf numFmtId="0" fontId="126" fillId="0" borderId="0" xfId="11" applyFont="1" applyAlignment="1">
      <alignment horizontal="center"/>
    </xf>
    <xf numFmtId="0" fontId="87" fillId="0" borderId="0" xfId="11" applyFont="1" applyAlignment="1">
      <alignment horizontal="center"/>
    </xf>
    <xf numFmtId="0" fontId="87" fillId="0" borderId="0" xfId="11" applyFont="1" applyAlignment="1"/>
    <xf numFmtId="0" fontId="126" fillId="0" borderId="0" xfId="11" applyFont="1" applyFill="1" applyAlignment="1">
      <alignment horizontal="center"/>
    </xf>
    <xf numFmtId="0" fontId="11" fillId="0" borderId="0" xfId="1" applyNumberFormat="1" applyFont="1" applyFill="1" applyBorder="1" applyAlignment="1" applyProtection="1">
      <alignment horizontal="center" vertical="center"/>
      <protection locked="0"/>
    </xf>
    <xf numFmtId="0" fontId="64" fillId="0" borderId="30" xfId="85" applyNumberFormat="1" applyFont="1" applyFill="1" applyBorder="1" applyAlignment="1" applyProtection="1">
      <alignment horizontal="left" vertical="center"/>
      <protection locked="0"/>
    </xf>
    <xf numFmtId="0" fontId="64" fillId="0" borderId="32" xfId="85" applyNumberFormat="1" applyFont="1" applyFill="1" applyBorder="1" applyAlignment="1" applyProtection="1">
      <alignment horizontal="left" vertical="center"/>
      <protection locked="0"/>
    </xf>
    <xf numFmtId="0" fontId="64" fillId="0" borderId="35" xfId="85" applyNumberFormat="1" applyFont="1" applyFill="1" applyBorder="1" applyAlignment="1" applyProtection="1">
      <alignment horizontal="left" vertical="center"/>
      <protection locked="0"/>
    </xf>
    <xf numFmtId="0" fontId="23" fillId="4" borderId="36" xfId="6" applyNumberFormat="1" applyFont="1" applyFill="1" applyBorder="1" applyAlignment="1" applyProtection="1">
      <alignment horizontal="center" vertical="center"/>
      <protection locked="0"/>
    </xf>
    <xf numFmtId="0" fontId="23" fillId="4" borderId="39" xfId="6" applyNumberFormat="1" applyFont="1" applyFill="1" applyBorder="1" applyAlignment="1" applyProtection="1">
      <alignment horizontal="center" vertical="center"/>
      <protection locked="0"/>
    </xf>
    <xf numFmtId="0" fontId="68" fillId="0" borderId="0" xfId="5" applyNumberFormat="1" applyFont="1" applyAlignment="1" applyProtection="1">
      <alignment horizontal="center" vertical="center" shrinkToFit="1"/>
      <protection hidden="1"/>
    </xf>
    <xf numFmtId="0" fontId="10" fillId="9" borderId="0" xfId="5" applyNumberFormat="1" applyFont="1" applyFill="1" applyBorder="1" applyAlignment="1" applyProtection="1">
      <alignment horizontal="center" vertical="center"/>
      <protection hidden="1"/>
    </xf>
    <xf numFmtId="0" fontId="28" fillId="0" borderId="0" xfId="5" applyNumberFormat="1" applyFont="1" applyFill="1" applyBorder="1" applyAlignment="1">
      <alignment horizontal="center" vertical="center"/>
    </xf>
    <xf numFmtId="0" fontId="25" fillId="0" borderId="0" xfId="5" applyNumberFormat="1" applyFont="1" applyFill="1" applyBorder="1" applyAlignment="1">
      <alignment horizontal="center" vertical="center"/>
    </xf>
    <xf numFmtId="0" fontId="66" fillId="0" borderId="0" xfId="5" applyFont="1" applyFill="1" applyBorder="1" applyAlignment="1">
      <alignment horizontal="center" vertical="center"/>
    </xf>
    <xf numFmtId="49" fontId="66" fillId="0" borderId="0" xfId="5" applyNumberFormat="1" applyFont="1" applyFill="1" applyBorder="1" applyAlignment="1" applyProtection="1">
      <alignment horizontal="center" vertical="center"/>
      <protection locked="0"/>
    </xf>
    <xf numFmtId="0" fontId="8" fillId="4" borderId="2" xfId="5" applyNumberFormat="1" applyFont="1" applyFill="1" applyBorder="1" applyAlignment="1" applyProtection="1">
      <alignment horizontal="left" vertical="center"/>
      <protection hidden="1"/>
    </xf>
    <xf numFmtId="0" fontId="8" fillId="4" borderId="40" xfId="5" applyNumberFormat="1" applyFont="1" applyFill="1" applyBorder="1" applyAlignment="1" applyProtection="1">
      <alignment horizontal="left" vertical="center"/>
      <protection hidden="1"/>
    </xf>
    <xf numFmtId="0" fontId="8" fillId="4" borderId="0" xfId="5" applyNumberFormat="1" applyFont="1" applyFill="1" applyBorder="1" applyAlignment="1" applyProtection="1">
      <alignment horizontal="left" vertical="center"/>
      <protection hidden="1"/>
    </xf>
    <xf numFmtId="0" fontId="22" fillId="3" borderId="0" xfId="0" applyNumberFormat="1" applyFont="1" applyFill="1" applyBorder="1" applyAlignment="1" applyProtection="1">
      <alignment horizontal="center" vertical="center"/>
      <protection locked="0"/>
    </xf>
    <xf numFmtId="0" fontId="8" fillId="4" borderId="4" xfId="5" applyNumberFormat="1" applyFont="1" applyFill="1" applyBorder="1" applyAlignment="1" applyProtection="1">
      <alignment horizontal="left" vertical="center"/>
      <protection hidden="1"/>
    </xf>
    <xf numFmtId="0" fontId="57" fillId="0" borderId="0" xfId="5" applyNumberFormat="1" applyFont="1" applyFill="1" applyBorder="1" applyAlignment="1" applyProtection="1">
      <alignment horizontal="center" vertical="center" shrinkToFit="1"/>
      <protection hidden="1"/>
    </xf>
    <xf numFmtId="0" fontId="70" fillId="9" borderId="0" xfId="5" applyNumberFormat="1" applyFont="1" applyFill="1" applyBorder="1" applyAlignment="1" applyProtection="1">
      <alignment horizontal="center" vertical="center"/>
      <protection hidden="1"/>
    </xf>
    <xf numFmtId="49" fontId="66" fillId="9" borderId="0" xfId="5" applyNumberFormat="1" applyFont="1" applyFill="1" applyBorder="1" applyAlignment="1" applyProtection="1">
      <alignment horizontal="center" vertical="center"/>
      <protection locked="0"/>
    </xf>
    <xf numFmtId="0" fontId="8" fillId="7" borderId="2" xfId="5" applyNumberFormat="1" applyFont="1" applyFill="1" applyBorder="1" applyAlignment="1" applyProtection="1">
      <alignment horizontal="left" vertical="center"/>
      <protection hidden="1"/>
    </xf>
    <xf numFmtId="0" fontId="8" fillId="2" borderId="40" xfId="5" applyNumberFormat="1" applyFont="1" applyFill="1" applyBorder="1" applyAlignment="1" applyProtection="1">
      <alignment horizontal="left" vertical="center"/>
      <protection hidden="1"/>
    </xf>
    <xf numFmtId="0" fontId="69" fillId="0" borderId="0" xfId="5" applyFont="1" applyFill="1" applyBorder="1" applyAlignment="1">
      <alignment horizontal="center" vertical="center"/>
    </xf>
    <xf numFmtId="0" fontId="8" fillId="7" borderId="8" xfId="5" applyNumberFormat="1" applyFont="1" applyFill="1" applyBorder="1" applyAlignment="1" applyProtection="1">
      <alignment horizontal="left" vertical="center"/>
      <protection hidden="1"/>
    </xf>
    <xf numFmtId="0" fontId="8" fillId="2" borderId="6" xfId="5" applyNumberFormat="1" applyFont="1" applyFill="1" applyBorder="1" applyAlignment="1" applyProtection="1">
      <alignment horizontal="left" vertical="center"/>
      <protection hidden="1"/>
    </xf>
    <xf numFmtId="49" fontId="61" fillId="9" borderId="0" xfId="5" applyNumberFormat="1" applyFont="1" applyFill="1" applyBorder="1" applyAlignment="1" applyProtection="1">
      <alignment horizontal="center" vertical="center"/>
      <protection hidden="1"/>
    </xf>
    <xf numFmtId="0" fontId="8" fillId="7" borderId="0" xfId="5" applyNumberFormat="1" applyFont="1" applyFill="1" applyBorder="1" applyAlignment="1" applyProtection="1">
      <alignment horizontal="left" vertical="center"/>
      <protection hidden="1"/>
    </xf>
    <xf numFmtId="0" fontId="8" fillId="2" borderId="4" xfId="5" applyNumberFormat="1" applyFont="1" applyFill="1" applyBorder="1" applyAlignment="1" applyProtection="1">
      <alignment horizontal="left" vertical="center"/>
      <protection hidden="1"/>
    </xf>
    <xf numFmtId="0" fontId="50" fillId="0" borderId="18" xfId="4" applyFont="1" applyFill="1" applyBorder="1" applyAlignment="1">
      <alignment horizontal="center" vertical="center"/>
    </xf>
    <xf numFmtId="0" fontId="2" fillId="0" borderId="17" xfId="4" applyFont="1" applyFill="1" applyBorder="1" applyAlignment="1">
      <alignment horizontal="center"/>
    </xf>
    <xf numFmtId="0" fontId="40" fillId="0" borderId="18" xfId="4" applyFont="1" applyFill="1" applyBorder="1" applyAlignment="1" applyProtection="1">
      <alignment horizontal="center" vertical="center" shrinkToFit="1"/>
      <protection hidden="1"/>
    </xf>
    <xf numFmtId="0" fontId="41" fillId="0" borderId="0" xfId="4" applyFont="1" applyFill="1" applyBorder="1" applyAlignment="1" applyProtection="1">
      <alignment horizontal="center"/>
      <protection hidden="1"/>
    </xf>
    <xf numFmtId="0" fontId="26" fillId="0" borderId="18" xfId="4" applyNumberFormat="1" applyFont="1" applyFill="1" applyBorder="1" applyAlignment="1" applyProtection="1">
      <alignment horizontal="center" vertical="center" shrinkToFit="1"/>
      <protection hidden="1"/>
    </xf>
    <xf numFmtId="0" fontId="48" fillId="0" borderId="43" xfId="4" applyFont="1" applyFill="1" applyBorder="1" applyAlignment="1" applyProtection="1">
      <alignment horizontal="center" vertical="center"/>
      <protection hidden="1"/>
    </xf>
    <xf numFmtId="0" fontId="48" fillId="0" borderId="44" xfId="4" applyFont="1" applyFill="1" applyBorder="1" applyAlignment="1" applyProtection="1">
      <alignment horizontal="center" vertical="center"/>
      <protection hidden="1"/>
    </xf>
    <xf numFmtId="0" fontId="48" fillId="0" borderId="45" xfId="4" applyFont="1" applyFill="1" applyBorder="1" applyAlignment="1" applyProtection="1">
      <alignment horizontal="center" vertical="center" shrinkToFit="1"/>
      <protection hidden="1"/>
    </xf>
    <xf numFmtId="0" fontId="48" fillId="0" borderId="46" xfId="4" applyFont="1" applyFill="1" applyBorder="1" applyAlignment="1" applyProtection="1">
      <alignment horizontal="center" vertical="center" shrinkToFit="1"/>
      <protection hidden="1"/>
    </xf>
    <xf numFmtId="0" fontId="48" fillId="0" borderId="47" xfId="4" applyFont="1" applyFill="1" applyBorder="1" applyAlignment="1" applyProtection="1">
      <alignment horizontal="center" vertical="center" shrinkToFit="1"/>
      <protection hidden="1"/>
    </xf>
    <xf numFmtId="0" fontId="48" fillId="0" borderId="35" xfId="4" applyFont="1" applyFill="1" applyBorder="1" applyAlignment="1" applyProtection="1">
      <alignment horizontal="center" vertical="center" shrinkToFit="1"/>
      <protection hidden="1"/>
    </xf>
    <xf numFmtId="0" fontId="26" fillId="0" borderId="18" xfId="4" applyFont="1" applyFill="1" applyBorder="1" applyAlignment="1" applyProtection="1">
      <alignment horizontal="center" vertical="center" shrinkToFit="1"/>
      <protection hidden="1"/>
    </xf>
    <xf numFmtId="0" fontId="42" fillId="0" borderId="41" xfId="4" applyNumberFormat="1" applyFont="1" applyFill="1" applyBorder="1" applyAlignment="1" applyProtection="1">
      <alignment horizontal="center" vertical="center" shrinkToFit="1"/>
      <protection hidden="1"/>
    </xf>
    <xf numFmtId="0" fontId="42" fillId="0" borderId="42" xfId="4" applyNumberFormat="1" applyFont="1" applyFill="1" applyBorder="1" applyAlignment="1" applyProtection="1">
      <alignment horizontal="center" vertical="center" shrinkToFit="1"/>
      <protection hidden="1"/>
    </xf>
    <xf numFmtId="0" fontId="71" fillId="0" borderId="0" xfId="5" applyNumberFormat="1" applyFont="1" applyAlignment="1" applyProtection="1">
      <alignment horizontal="right" vertical="center" shrinkToFit="1"/>
      <protection hidden="1"/>
    </xf>
    <xf numFmtId="0" fontId="81" fillId="0" borderId="0" xfId="10" applyFont="1" applyBorder="1" applyAlignment="1">
      <alignment horizontal="center" vertical="center" shrinkToFit="1"/>
    </xf>
    <xf numFmtId="0" fontId="82" fillId="0" borderId="0" xfId="10" applyFont="1" applyBorder="1" applyAlignment="1">
      <alignment shrinkToFit="1"/>
    </xf>
    <xf numFmtId="0" fontId="84" fillId="0" borderId="48" xfId="10" applyFont="1" applyBorder="1" applyAlignment="1">
      <alignment horizontal="left" vertical="center"/>
    </xf>
    <xf numFmtId="0" fontId="85" fillId="0" borderId="0" xfId="1" applyFont="1" applyAlignment="1">
      <alignment horizontal="left" vertical="center"/>
    </xf>
    <xf numFmtId="0" fontId="86" fillId="0" borderId="0" xfId="10" applyFont="1" applyBorder="1" applyAlignment="1">
      <alignment horizontal="center" vertical="center" shrinkToFit="1" readingOrder="1"/>
    </xf>
    <xf numFmtId="0" fontId="88" fillId="0" borderId="0" xfId="10" applyFont="1" applyAlignment="1"/>
    <xf numFmtId="0" fontId="89" fillId="0" borderId="0" xfId="10" applyFont="1" applyAlignment="1"/>
    <xf numFmtId="0" fontId="36" fillId="10" borderId="1" xfId="5" applyNumberFormat="1" applyFont="1" applyFill="1" applyBorder="1" applyAlignment="1">
      <alignment horizontal="center" vertical="center"/>
    </xf>
    <xf numFmtId="0" fontId="72" fillId="35" borderId="0" xfId="5" applyNumberFormat="1" applyFont="1" applyFill="1" applyBorder="1" applyAlignment="1" applyProtection="1">
      <alignment horizontal="left" vertical="center"/>
      <protection locked="0"/>
    </xf>
    <xf numFmtId="0" fontId="28" fillId="0" borderId="0" xfId="5" applyFont="1" applyFill="1" applyBorder="1" applyAlignment="1">
      <alignment horizontal="center" vertical="center"/>
    </xf>
    <xf numFmtId="0" fontId="29" fillId="0" borderId="0" xfId="5" applyNumberFormat="1" applyFont="1" applyFill="1" applyBorder="1" applyAlignment="1" applyProtection="1">
      <alignment horizontal="right" vertical="center"/>
      <protection locked="0"/>
    </xf>
  </cellXfs>
  <cellStyles count="103"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akcent 1 2" xfId="18"/>
    <cellStyle name="20% - akcent 2 2" xfId="19"/>
    <cellStyle name="20% - akcent 3 2" xfId="20"/>
    <cellStyle name="20% - akcent 4 2" xfId="21"/>
    <cellStyle name="20% - akcent 5 2" xfId="22"/>
    <cellStyle name="20% - akcent 6 2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0% - akcent 1 2" xfId="30"/>
    <cellStyle name="40% - akcent 2 2" xfId="31"/>
    <cellStyle name="40% - akcent 3 2" xfId="32"/>
    <cellStyle name="40% - akcent 4 2" xfId="33"/>
    <cellStyle name="40% - akcent 5 2" xfId="34"/>
    <cellStyle name="40% - akcent 6 2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60% - akcent 1 2" xfId="42"/>
    <cellStyle name="60% - akcent 2 2" xfId="43"/>
    <cellStyle name="60% - akcent 3 2" xfId="44"/>
    <cellStyle name="60% - akcent 4 2" xfId="45"/>
    <cellStyle name="60% - akcent 5 2" xfId="46"/>
    <cellStyle name="60% - akcent 6 2" xfId="47"/>
    <cellStyle name="Accent1" xfId="48"/>
    <cellStyle name="Accent2" xfId="49"/>
    <cellStyle name="Accent3" xfId="50"/>
    <cellStyle name="Accent4" xfId="51"/>
    <cellStyle name="Accent5" xfId="52"/>
    <cellStyle name="Accent6" xfId="53"/>
    <cellStyle name="Akcent 1 2" xfId="54"/>
    <cellStyle name="Akcent 2 2" xfId="55"/>
    <cellStyle name="Akcent 3 2" xfId="56"/>
    <cellStyle name="Akcent 4 2" xfId="57"/>
    <cellStyle name="Akcent 5 2" xfId="58"/>
    <cellStyle name="Akcent 6 2" xfId="59"/>
    <cellStyle name="Bad" xfId="60"/>
    <cellStyle name="Calculation" xfId="61"/>
    <cellStyle name="Check Cell" xfId="62"/>
    <cellStyle name="Dane wejściowe 2" xfId="63"/>
    <cellStyle name="Dane wyjściowe 2" xfId="64"/>
    <cellStyle name="Dobre 2" xfId="65"/>
    <cellStyle name="Excel Built-in Normal" xfId="66"/>
    <cellStyle name="Explanatory Text" xfId="67"/>
    <cellStyle name="Good" xfId="68"/>
    <cellStyle name="Heading 1" xfId="69"/>
    <cellStyle name="Heading 2" xfId="70"/>
    <cellStyle name="Heading 3" xfId="71"/>
    <cellStyle name="Heading 4" xfId="72"/>
    <cellStyle name="Input" xfId="73"/>
    <cellStyle name="Komórka połączona 2" xfId="74"/>
    <cellStyle name="Komórka zaznaczona 2" xfId="75"/>
    <cellStyle name="Linked Cell" xfId="76"/>
    <cellStyle name="Nagłówek 1 2" xfId="77"/>
    <cellStyle name="Nagłówek 2 2" xfId="78"/>
    <cellStyle name="Nagłówek 3 2" xfId="79"/>
    <cellStyle name="Nagłówek 4 2" xfId="80"/>
    <cellStyle name="Neutral" xfId="81"/>
    <cellStyle name="Neutralne 2" xfId="82"/>
    <cellStyle name="Normalny" xfId="0" builtinId="0"/>
    <cellStyle name="Normalny 2" xfId="1"/>
    <cellStyle name="Normalny 2 2" xfId="2"/>
    <cellStyle name="Normalny 2 2 2" xfId="3"/>
    <cellStyle name="Normalny 2 2 2 2" xfId="4"/>
    <cellStyle name="Normalny 2 2 2 2 2" xfId="83"/>
    <cellStyle name="Normalny 2 3" xfId="5"/>
    <cellStyle name="Normalny 2 3 2" xfId="84"/>
    <cellStyle name="Normalny 3" xfId="6"/>
    <cellStyle name="Normalny 3 2" xfId="85"/>
    <cellStyle name="Normalny 4" xfId="7"/>
    <cellStyle name="Normalny 5" xfId="8"/>
    <cellStyle name="Normalny 5 2" xfId="86"/>
    <cellStyle name="Normalny 6" xfId="9"/>
    <cellStyle name="Normalny 6 2" xfId="87"/>
    <cellStyle name="Normalny 6 2 2" xfId="11"/>
    <cellStyle name="Normalny 6 3" xfId="10"/>
    <cellStyle name="Normalny 7" xfId="88"/>
    <cellStyle name="Normalny 8" xfId="89"/>
    <cellStyle name="Normalny 9" xfId="90"/>
    <cellStyle name="Note" xfId="91"/>
    <cellStyle name="Obliczenia 2" xfId="92"/>
    <cellStyle name="Output" xfId="93"/>
    <cellStyle name="Suma 2" xfId="94"/>
    <cellStyle name="Tekst objaśnienia 2" xfId="95"/>
    <cellStyle name="Tekst ostrzeżenia 2" xfId="96"/>
    <cellStyle name="Title" xfId="97"/>
    <cellStyle name="Total" xfId="98"/>
    <cellStyle name="Tytuł 2" xfId="99"/>
    <cellStyle name="Uwaga 2" xfId="100"/>
    <cellStyle name="Warning Text" xfId="101"/>
    <cellStyle name="Złe 2" xfId="10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1</xdr:row>
      <xdr:rowOff>83820</xdr:rowOff>
    </xdr:to>
    <xdr:pic>
      <xdr:nvPicPr>
        <xdr:cNvPr id="63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6324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60960</xdr:colOff>
      <xdr:row>1</xdr:row>
      <xdr:rowOff>83820</xdr:rowOff>
    </xdr:to>
    <xdr:pic>
      <xdr:nvPicPr>
        <xdr:cNvPr id="76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16280" cy="6324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0</xdr:colOff>
      <xdr:row>61</xdr:row>
      <xdr:rowOff>0</xdr:rowOff>
    </xdr:from>
    <xdr:to>
      <xdr:col>2</xdr:col>
      <xdr:colOff>60960</xdr:colOff>
      <xdr:row>62</xdr:row>
      <xdr:rowOff>83820</xdr:rowOff>
    </xdr:to>
    <xdr:pic>
      <xdr:nvPicPr>
        <xdr:cNvPr id="76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5742920"/>
          <a:ext cx="716280" cy="6324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396240</xdr:colOff>
      <xdr:row>0</xdr:row>
      <xdr:rowOff>22860</xdr:rowOff>
    </xdr:from>
    <xdr:to>
      <xdr:col>7</xdr:col>
      <xdr:colOff>68580</xdr:colOff>
      <xdr:row>2</xdr:row>
      <xdr:rowOff>152400</xdr:rowOff>
    </xdr:to>
    <xdr:pic>
      <xdr:nvPicPr>
        <xdr:cNvPr id="151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5040" y="22860"/>
          <a:ext cx="388620" cy="3581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17</xdr:col>
      <xdr:colOff>426720</xdr:colOff>
      <xdr:row>0</xdr:row>
      <xdr:rowOff>22860</xdr:rowOff>
    </xdr:from>
    <xdr:to>
      <xdr:col>20</xdr:col>
      <xdr:colOff>99060</xdr:colOff>
      <xdr:row>2</xdr:row>
      <xdr:rowOff>152400</xdr:rowOff>
    </xdr:to>
    <xdr:pic>
      <xdr:nvPicPr>
        <xdr:cNvPr id="1519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83780" y="22860"/>
          <a:ext cx="388620" cy="3581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17</xdr:col>
      <xdr:colOff>396240</xdr:colOff>
      <xdr:row>19</xdr:row>
      <xdr:rowOff>22860</xdr:rowOff>
    </xdr:from>
    <xdr:to>
      <xdr:col>20</xdr:col>
      <xdr:colOff>68580</xdr:colOff>
      <xdr:row>21</xdr:row>
      <xdr:rowOff>152400</xdr:rowOff>
    </xdr:to>
    <xdr:pic>
      <xdr:nvPicPr>
        <xdr:cNvPr id="15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3300" y="3855720"/>
          <a:ext cx="388620" cy="3581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  <xdr:twoCellAnchor>
    <xdr:from>
      <xdr:col>4</xdr:col>
      <xdr:colOff>403860</xdr:colOff>
      <xdr:row>19</xdr:row>
      <xdr:rowOff>22860</xdr:rowOff>
    </xdr:from>
    <xdr:to>
      <xdr:col>7</xdr:col>
      <xdr:colOff>76200</xdr:colOff>
      <xdr:row>21</xdr:row>
      <xdr:rowOff>152400</xdr:rowOff>
    </xdr:to>
    <xdr:pic>
      <xdr:nvPicPr>
        <xdr:cNvPr id="1520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2660" y="3855720"/>
          <a:ext cx="388620" cy="35814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1</xdr:row>
      <xdr:rowOff>83820</xdr:rowOff>
    </xdr:to>
    <xdr:pic>
      <xdr:nvPicPr>
        <xdr:cNvPr id="267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3900" cy="6324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1:Q58"/>
  <sheetViews>
    <sheetView zoomScale="60" zoomScaleNormal="60" workbookViewId="0">
      <selection activeCell="C10" sqref="C10"/>
    </sheetView>
  </sheetViews>
  <sheetFormatPr defaultColWidth="9.140625" defaultRowHeight="12.75"/>
  <cols>
    <col min="1" max="1" width="11.5703125" style="5" customWidth="1"/>
    <col min="2" max="2" width="51" style="1" customWidth="1"/>
    <col min="3" max="3" width="92.5703125" style="2" bestFit="1" customWidth="1"/>
    <col min="4" max="4" width="15.7109375" style="3" customWidth="1"/>
    <col min="5" max="5" width="29" style="2" customWidth="1"/>
    <col min="6" max="6" width="28.85546875" style="4" customWidth="1"/>
    <col min="7" max="7" width="13.5703125" style="3" customWidth="1"/>
    <col min="8" max="8" width="11.5703125" style="5" customWidth="1"/>
    <col min="9" max="16384" width="9.140625" style="5"/>
  </cols>
  <sheetData>
    <row r="1" spans="2:17" ht="20.100000000000001" customHeight="1" thickBot="1"/>
    <row r="2" spans="2:17" ht="30" customHeight="1" thickBot="1">
      <c r="B2" s="321" t="s">
        <v>40</v>
      </c>
      <c r="C2" s="322"/>
      <c r="D2" s="232"/>
    </row>
    <row r="3" spans="2:17" ht="30" customHeight="1">
      <c r="B3" s="233" t="s">
        <v>41</v>
      </c>
      <c r="C3" s="318" t="s">
        <v>162</v>
      </c>
      <c r="D3" s="234"/>
      <c r="E3" s="7"/>
      <c r="F3" s="7"/>
      <c r="G3" s="8"/>
      <c r="O3" s="9"/>
      <c r="P3" s="10"/>
      <c r="Q3" s="11"/>
    </row>
    <row r="4" spans="2:17" ht="30" customHeight="1">
      <c r="B4" s="235" t="s">
        <v>42</v>
      </c>
      <c r="C4" s="319" t="s">
        <v>163</v>
      </c>
      <c r="D4" s="234"/>
      <c r="E4" s="7"/>
      <c r="F4" s="7"/>
      <c r="G4" s="8"/>
      <c r="O4" s="9"/>
      <c r="P4" s="12"/>
      <c r="Q4" s="11"/>
    </row>
    <row r="5" spans="2:17" ht="30" customHeight="1">
      <c r="B5" s="236" t="s">
        <v>43</v>
      </c>
      <c r="C5" s="318" t="s">
        <v>164</v>
      </c>
      <c r="D5" s="237" t="str">
        <f>"- w formacie dd.mm.rrrr"</f>
        <v>- w formacie dd.mm.rrrr</v>
      </c>
      <c r="E5" s="7"/>
      <c r="F5" s="7"/>
      <c r="G5" s="8"/>
      <c r="O5" s="9"/>
      <c r="P5" s="12"/>
      <c r="Q5" s="11"/>
    </row>
    <row r="6" spans="2:17" ht="30" customHeight="1">
      <c r="B6" s="235" t="s">
        <v>114</v>
      </c>
      <c r="C6" s="319" t="s">
        <v>165</v>
      </c>
      <c r="D6" s="234"/>
      <c r="E6" s="7"/>
      <c r="F6" s="7"/>
      <c r="G6" s="8"/>
      <c r="O6" s="9"/>
      <c r="P6" s="12"/>
      <c r="Q6" s="11"/>
    </row>
    <row r="7" spans="2:17" ht="30" customHeight="1">
      <c r="B7" s="236" t="s">
        <v>115</v>
      </c>
      <c r="C7" s="319" t="s">
        <v>166</v>
      </c>
      <c r="D7" s="237" t="str">
        <f>"- jeśli nie ma obsługi komputerowej pozostawić pustą komórkę"</f>
        <v>- jeśli nie ma obsługi komputerowej pozostawić pustą komórkę</v>
      </c>
      <c r="E7" s="7"/>
      <c r="F7" s="7"/>
      <c r="G7" s="8"/>
      <c r="O7" s="9"/>
      <c r="P7" s="12"/>
      <c r="Q7" s="11"/>
    </row>
    <row r="8" spans="2:17" ht="30" customHeight="1">
      <c r="B8" s="235" t="s">
        <v>44</v>
      </c>
      <c r="C8" s="319" t="s">
        <v>167</v>
      </c>
      <c r="D8" s="237" t="str">
        <f>"- np. gra pojedyncza juniorek"</f>
        <v>- np. gra pojedyncza juniorek</v>
      </c>
      <c r="E8" s="7"/>
      <c r="F8" s="7"/>
      <c r="G8" s="8"/>
      <c r="O8" s="9"/>
      <c r="P8" s="12"/>
      <c r="Q8" s="11"/>
    </row>
    <row r="9" spans="2:17" ht="30" customHeight="1" thickBot="1">
      <c r="B9" s="238" t="s">
        <v>116</v>
      </c>
      <c r="C9" s="320" t="s">
        <v>168</v>
      </c>
      <c r="D9" s="237" t="str">
        <f>"- jeśli nie stosuje się, wpisać to samo co w Konkurencja"</f>
        <v>- jeśli nie stosuje się, wpisać to samo co w Konkurencja</v>
      </c>
      <c r="E9" s="7"/>
      <c r="F9" s="7"/>
      <c r="G9" s="8"/>
      <c r="O9" s="9"/>
      <c r="P9" s="12"/>
      <c r="Q9" s="11"/>
    </row>
    <row r="10" spans="2:17" ht="20.100000000000001" customHeight="1">
      <c r="B10" s="13"/>
      <c r="C10" s="14"/>
      <c r="D10" s="6"/>
      <c r="E10" s="7"/>
      <c r="F10" s="7"/>
      <c r="G10" s="8"/>
      <c r="O10" s="9"/>
      <c r="P10" s="12"/>
      <c r="Q10" s="11"/>
    </row>
    <row r="11" spans="2:17" ht="20.100000000000001" customHeight="1">
      <c r="B11" s="13"/>
      <c r="C11" s="14"/>
      <c r="D11" s="6"/>
      <c r="E11" s="7"/>
      <c r="F11" s="7"/>
      <c r="G11" s="8"/>
      <c r="O11" s="9"/>
      <c r="P11" s="12"/>
      <c r="Q11" s="11"/>
    </row>
    <row r="12" spans="2:17" ht="20.100000000000001" customHeight="1">
      <c r="B12" s="13"/>
      <c r="C12" s="14"/>
      <c r="D12" s="6" t="s">
        <v>122</v>
      </c>
      <c r="E12" s="7"/>
      <c r="F12" s="7"/>
      <c r="G12" s="8"/>
      <c r="O12" s="9"/>
      <c r="P12" s="12"/>
      <c r="Q12" s="11"/>
    </row>
    <row r="13" spans="2:17" ht="20.100000000000001" customHeight="1">
      <c r="B13" s="13"/>
      <c r="C13" s="14"/>
      <c r="D13" s="6"/>
      <c r="E13" s="7"/>
      <c r="F13" s="7"/>
      <c r="G13" s="8"/>
      <c r="O13" s="9"/>
      <c r="P13" s="12"/>
      <c r="Q13" s="11"/>
    </row>
    <row r="14" spans="2:17" ht="20.100000000000001" customHeight="1">
      <c r="B14" s="13"/>
      <c r="C14" s="14"/>
      <c r="D14" s="6"/>
      <c r="E14" s="7"/>
      <c r="F14" s="7"/>
      <c r="G14" s="8"/>
      <c r="O14" s="9"/>
      <c r="P14" s="12"/>
      <c r="Q14" s="11"/>
    </row>
    <row r="15" spans="2:17" ht="20.100000000000001" customHeight="1">
      <c r="B15" s="13"/>
      <c r="C15" s="14"/>
      <c r="D15" s="6"/>
      <c r="E15" s="7"/>
      <c r="F15" s="7"/>
      <c r="G15" s="8"/>
      <c r="O15" s="9"/>
      <c r="P15" s="12"/>
      <c r="Q15" s="11"/>
    </row>
    <row r="16" spans="2:17" ht="20.100000000000001" customHeight="1"/>
    <row r="17" spans="3:7" ht="20.100000000000001" customHeight="1">
      <c r="G17" s="15"/>
    </row>
    <row r="18" spans="3:7" ht="20.100000000000001" customHeight="1"/>
    <row r="19" spans="3:7" ht="20.100000000000001" customHeight="1"/>
    <row r="20" spans="3:7" ht="20.100000000000001" customHeight="1"/>
    <row r="21" spans="3:7" ht="20.100000000000001" customHeight="1"/>
    <row r="22" spans="3:7" ht="20.100000000000001" customHeight="1">
      <c r="C22" s="14"/>
      <c r="D22" s="6"/>
      <c r="E22" s="7"/>
      <c r="F22" s="7"/>
      <c r="G22" s="8"/>
    </row>
    <row r="23" spans="3:7" ht="20.100000000000001" customHeight="1">
      <c r="C23" s="14"/>
      <c r="D23" s="6"/>
      <c r="E23" s="7"/>
      <c r="F23" s="7"/>
      <c r="G23" s="8"/>
    </row>
    <row r="24" spans="3:7" ht="20.100000000000001" customHeight="1">
      <c r="C24" s="14"/>
      <c r="D24" s="6"/>
      <c r="E24" s="7"/>
      <c r="F24" s="7"/>
      <c r="G24" s="8"/>
    </row>
    <row r="25" spans="3:7" ht="20.100000000000001" customHeight="1"/>
    <row r="26" spans="3:7" ht="20.100000000000001" customHeight="1"/>
    <row r="27" spans="3:7" ht="20.100000000000001" customHeight="1"/>
    <row r="28" spans="3:7" ht="20.100000000000001" customHeight="1"/>
    <row r="29" spans="3:7" ht="20.100000000000001" customHeight="1"/>
    <row r="30" spans="3:7" ht="20.100000000000001" customHeight="1"/>
    <row r="31" spans="3:7" ht="20.100000000000001" customHeight="1"/>
    <row r="32" spans="3:7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</sheetData>
  <mergeCells count="1">
    <mergeCell ref="B2:C2"/>
  </mergeCells>
  <printOptions horizontalCentered="1"/>
  <pageMargins left="0.39370078740157483" right="0.39370078740157483" top="0.23622047244094491" bottom="0.19685039370078741" header="0" footer="0.19685039370078741"/>
  <pageSetup paperSize="9" scale="40" orientation="portrait" horizontalDpi="4294967293" r:id="rId1"/>
  <headerFooter alignWithMargins="0">
    <oddFooter>&amp;L&amp;"-,Kursywa"&amp;12aktualizacja &amp;D godz. &amp;T&amp;C&amp;"-,Pogrubiony"&amp;12Wydział Rozgrywek PZTS&amp;R&amp;"-,Kursywa"&amp;12&amp;P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S42"/>
  <sheetViews>
    <sheetView zoomScale="70" zoomScaleNormal="70" workbookViewId="0">
      <selection activeCell="J9" sqref="J9"/>
    </sheetView>
  </sheetViews>
  <sheetFormatPr defaultColWidth="9.140625" defaultRowHeight="12.75"/>
  <cols>
    <col min="1" max="1" width="7.42578125" style="22" customWidth="1"/>
    <col min="2" max="2" width="7.42578125" style="23" customWidth="1"/>
    <col min="3" max="3" width="7.85546875" style="24" customWidth="1"/>
    <col min="4" max="4" width="35.85546875" style="25" customWidth="1"/>
    <col min="5" max="6" width="13.28515625" style="26" customWidth="1"/>
    <col min="7" max="7" width="34.140625" style="25" customWidth="1"/>
    <col min="8" max="8" width="10" style="26" customWidth="1"/>
    <col min="9" max="9" width="7.85546875" style="24" customWidth="1"/>
    <col min="10" max="10" width="35.85546875" style="25" customWidth="1"/>
    <col min="11" max="12" width="13.28515625" style="26" customWidth="1"/>
    <col min="13" max="13" width="34.140625" style="25" customWidth="1"/>
    <col min="14" max="15" width="10" style="26" customWidth="1"/>
    <col min="16" max="16" width="7.42578125" style="22" customWidth="1"/>
    <col min="17" max="17" width="7.42578125" style="38" customWidth="1"/>
    <col min="18" max="19" width="0" style="22" hidden="1" customWidth="1"/>
    <col min="20" max="16384" width="9.140625" style="22"/>
  </cols>
  <sheetData>
    <row r="1" spans="1:19" ht="43.5" customHeight="1">
      <c r="A1" s="21"/>
      <c r="B1" s="323" t="str">
        <f>IF(info!C3="","",CONCATENATE(info!C3,", ",info!C4," ",info!C5))</f>
        <v>64. Mistrzostwa Polski Kolejarzy, Suchedniów 21-23.04.2023r.</v>
      </c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228"/>
    </row>
    <row r="2" spans="1:19" ht="20.100000000000001" customHeight="1"/>
    <row r="3" spans="1:19" ht="28.5" customHeight="1">
      <c r="A3" s="324" t="str">
        <f>CONCATENATE(IF(info!C8="","",info!C8)," - lista")</f>
        <v>GRA MIESZANA - lista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229"/>
    </row>
    <row r="4" spans="1:19" s="27" customFormat="1" ht="20.100000000000001" customHeight="1">
      <c r="A4" s="325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226"/>
    </row>
    <row r="5" spans="1:19" ht="20.100000000000001" customHeight="1"/>
    <row r="6" spans="1:19" ht="20.100000000000001" customHeight="1">
      <c r="A6" s="28"/>
      <c r="B6" s="29" t="s">
        <v>56</v>
      </c>
      <c r="C6" s="30" t="s">
        <v>108</v>
      </c>
      <c r="D6" s="29" t="s">
        <v>2</v>
      </c>
      <c r="E6" s="29" t="s">
        <v>51</v>
      </c>
      <c r="F6" s="29" t="s">
        <v>50</v>
      </c>
      <c r="G6" s="29" t="s">
        <v>33</v>
      </c>
      <c r="H6" s="29" t="s">
        <v>45</v>
      </c>
      <c r="I6" s="30" t="s">
        <v>108</v>
      </c>
      <c r="J6" s="29" t="s">
        <v>2</v>
      </c>
      <c r="K6" s="29" t="s">
        <v>51</v>
      </c>
      <c r="L6" s="29" t="s">
        <v>50</v>
      </c>
      <c r="M6" s="29" t="s">
        <v>33</v>
      </c>
      <c r="N6" s="29" t="s">
        <v>45</v>
      </c>
      <c r="O6" s="29" t="s">
        <v>57</v>
      </c>
      <c r="P6" s="28"/>
      <c r="Q6" s="28"/>
      <c r="R6" s="30" t="s">
        <v>109</v>
      </c>
      <c r="S6" s="30" t="s">
        <v>110</v>
      </c>
    </row>
    <row r="7" spans="1:19" ht="20.100000000000001" customHeight="1"/>
    <row r="8" spans="1:19" ht="19.5" customHeight="1">
      <c r="B8" s="31" t="s">
        <v>1</v>
      </c>
      <c r="C8" s="249"/>
      <c r="D8" s="33" t="s">
        <v>134</v>
      </c>
      <c r="E8" s="317"/>
      <c r="F8" s="250"/>
      <c r="G8" s="251"/>
      <c r="H8" s="252">
        <v>25</v>
      </c>
      <c r="I8" s="249"/>
      <c r="J8" s="33" t="s">
        <v>135</v>
      </c>
      <c r="K8" s="317"/>
      <c r="L8" s="250"/>
      <c r="M8" s="251"/>
      <c r="N8" s="252">
        <v>17</v>
      </c>
      <c r="O8" s="253">
        <f t="shared" ref="O8:O24" si="0">H8+N8</f>
        <v>42</v>
      </c>
      <c r="R8" s="224">
        <f t="shared" ref="R8:R39" si="1">C8</f>
        <v>0</v>
      </c>
      <c r="S8" s="224">
        <f>I8</f>
        <v>0</v>
      </c>
    </row>
    <row r="9" spans="1:19" ht="19.5" customHeight="1">
      <c r="B9" s="31" t="s">
        <v>0</v>
      </c>
      <c r="C9" s="249"/>
      <c r="D9" s="33" t="s">
        <v>136</v>
      </c>
      <c r="E9" s="317"/>
      <c r="F9" s="250"/>
      <c r="G9" s="251"/>
      <c r="H9" s="252">
        <v>16</v>
      </c>
      <c r="I9" s="249"/>
      <c r="J9" s="33" t="s">
        <v>137</v>
      </c>
      <c r="K9" s="317"/>
      <c r="L9" s="250"/>
      <c r="M9" s="251"/>
      <c r="N9" s="252">
        <v>19</v>
      </c>
      <c r="O9" s="253">
        <f t="shared" si="0"/>
        <v>35</v>
      </c>
      <c r="R9" s="224">
        <f t="shared" si="1"/>
        <v>0</v>
      </c>
      <c r="S9" s="224">
        <f t="shared" ref="S9:S37" si="2">I9</f>
        <v>0</v>
      </c>
    </row>
    <row r="10" spans="1:19" ht="19.5" customHeight="1">
      <c r="B10" s="31" t="s">
        <v>3</v>
      </c>
      <c r="C10" s="249"/>
      <c r="D10" s="33" t="s">
        <v>147</v>
      </c>
      <c r="E10" s="317"/>
      <c r="F10" s="250"/>
      <c r="G10" s="251"/>
      <c r="H10" s="252">
        <v>0</v>
      </c>
      <c r="I10" s="249"/>
      <c r="J10" s="33" t="s">
        <v>146</v>
      </c>
      <c r="K10" s="317"/>
      <c r="L10" s="250"/>
      <c r="M10" s="251"/>
      <c r="N10" s="252">
        <v>22</v>
      </c>
      <c r="O10" s="253">
        <f t="shared" si="0"/>
        <v>22</v>
      </c>
      <c r="R10" s="224">
        <f t="shared" si="1"/>
        <v>0</v>
      </c>
      <c r="S10" s="224">
        <f t="shared" si="2"/>
        <v>0</v>
      </c>
    </row>
    <row r="11" spans="1:19" ht="19.5" customHeight="1">
      <c r="B11" s="31" t="s">
        <v>4</v>
      </c>
      <c r="C11" s="249"/>
      <c r="D11" s="33" t="s">
        <v>150</v>
      </c>
      <c r="E11" s="317"/>
      <c r="F11" s="250"/>
      <c r="G11" s="251"/>
      <c r="H11" s="252">
        <v>6</v>
      </c>
      <c r="I11" s="249"/>
      <c r="J11" s="33" t="s">
        <v>151</v>
      </c>
      <c r="K11" s="317"/>
      <c r="L11" s="250"/>
      <c r="M11" s="251"/>
      <c r="N11" s="252">
        <v>11</v>
      </c>
      <c r="O11" s="253">
        <f t="shared" si="0"/>
        <v>17</v>
      </c>
      <c r="R11" s="224">
        <f t="shared" si="1"/>
        <v>0</v>
      </c>
      <c r="S11" s="224">
        <f t="shared" si="2"/>
        <v>0</v>
      </c>
    </row>
    <row r="12" spans="1:19" ht="19.5" customHeight="1">
      <c r="B12" s="31" t="s">
        <v>5</v>
      </c>
      <c r="C12" s="249"/>
      <c r="D12" s="33" t="s">
        <v>158</v>
      </c>
      <c r="E12" s="317"/>
      <c r="F12" s="250"/>
      <c r="G12" s="251"/>
      <c r="H12" s="252">
        <v>9</v>
      </c>
      <c r="I12" s="249"/>
      <c r="J12" s="33" t="s">
        <v>159</v>
      </c>
      <c r="K12" s="317"/>
      <c r="L12" s="250"/>
      <c r="M12" s="251"/>
      <c r="N12" s="252">
        <v>8</v>
      </c>
      <c r="O12" s="253">
        <f t="shared" si="0"/>
        <v>17</v>
      </c>
      <c r="R12" s="224">
        <f t="shared" si="1"/>
        <v>0</v>
      </c>
      <c r="S12" s="224">
        <f t="shared" si="2"/>
        <v>0</v>
      </c>
    </row>
    <row r="13" spans="1:19" ht="19.5" customHeight="1">
      <c r="B13" s="31" t="s">
        <v>6</v>
      </c>
      <c r="C13" s="249"/>
      <c r="D13" s="33" t="s">
        <v>160</v>
      </c>
      <c r="E13" s="317"/>
      <c r="F13" s="250"/>
      <c r="G13" s="251"/>
      <c r="H13" s="252">
        <v>15</v>
      </c>
      <c r="I13" s="249"/>
      <c r="J13" s="33" t="s">
        <v>161</v>
      </c>
      <c r="K13" s="317"/>
      <c r="L13" s="250"/>
      <c r="M13" s="251"/>
      <c r="N13" s="252">
        <v>0</v>
      </c>
      <c r="O13" s="253">
        <f t="shared" si="0"/>
        <v>15</v>
      </c>
      <c r="R13" s="224">
        <f t="shared" si="1"/>
        <v>0</v>
      </c>
      <c r="S13" s="224">
        <f t="shared" si="2"/>
        <v>0</v>
      </c>
    </row>
    <row r="14" spans="1:19" ht="19.5" customHeight="1">
      <c r="B14" s="31" t="s">
        <v>7</v>
      </c>
      <c r="C14" s="249"/>
      <c r="D14" s="33" t="s">
        <v>132</v>
      </c>
      <c r="E14" s="317"/>
      <c r="F14" s="250"/>
      <c r="G14" s="251"/>
      <c r="H14" s="252">
        <v>14</v>
      </c>
      <c r="I14" s="249"/>
      <c r="J14" s="33" t="s">
        <v>133</v>
      </c>
      <c r="K14" s="317"/>
      <c r="L14" s="250"/>
      <c r="M14" s="251"/>
      <c r="N14" s="252">
        <v>0</v>
      </c>
      <c r="O14" s="253">
        <f t="shared" si="0"/>
        <v>14</v>
      </c>
      <c r="R14" s="224">
        <f t="shared" si="1"/>
        <v>0</v>
      </c>
      <c r="S14" s="224">
        <f t="shared" si="2"/>
        <v>0</v>
      </c>
    </row>
    <row r="15" spans="1:19" ht="19.5" customHeight="1">
      <c r="B15" s="31" t="s">
        <v>8</v>
      </c>
      <c r="C15" s="249"/>
      <c r="D15" s="33" t="s">
        <v>140</v>
      </c>
      <c r="E15" s="317"/>
      <c r="F15" s="250"/>
      <c r="G15" s="251"/>
      <c r="H15" s="252">
        <v>13</v>
      </c>
      <c r="I15" s="249"/>
      <c r="J15" s="33" t="s">
        <v>141</v>
      </c>
      <c r="K15" s="317"/>
      <c r="L15" s="250"/>
      <c r="M15" s="251"/>
      <c r="N15" s="252">
        <v>0</v>
      </c>
      <c r="O15" s="253">
        <f t="shared" si="0"/>
        <v>13</v>
      </c>
      <c r="R15" s="224">
        <f t="shared" si="1"/>
        <v>0</v>
      </c>
      <c r="S15" s="224">
        <f t="shared" si="2"/>
        <v>0</v>
      </c>
    </row>
    <row r="16" spans="1:19" ht="19.5" customHeight="1">
      <c r="B16" s="31" t="s">
        <v>9</v>
      </c>
      <c r="C16" s="249"/>
      <c r="D16" s="33" t="s">
        <v>144</v>
      </c>
      <c r="E16" s="317"/>
      <c r="F16" s="250"/>
      <c r="G16" s="251"/>
      <c r="H16" s="252">
        <v>0</v>
      </c>
      <c r="I16" s="249"/>
      <c r="J16" s="33" t="s">
        <v>145</v>
      </c>
      <c r="K16" s="317"/>
      <c r="L16" s="250"/>
      <c r="M16" s="251"/>
      <c r="N16" s="252">
        <v>13</v>
      </c>
      <c r="O16" s="253">
        <f t="shared" si="0"/>
        <v>13</v>
      </c>
      <c r="R16" s="224">
        <f t="shared" si="1"/>
        <v>0</v>
      </c>
      <c r="S16" s="224">
        <f t="shared" si="2"/>
        <v>0</v>
      </c>
    </row>
    <row r="17" spans="2:19" ht="19.5" customHeight="1">
      <c r="B17" s="31" t="s">
        <v>10</v>
      </c>
      <c r="C17" s="249"/>
      <c r="D17" s="33" t="s">
        <v>149</v>
      </c>
      <c r="E17" s="317"/>
      <c r="F17" s="250"/>
      <c r="G17" s="251"/>
      <c r="H17" s="252">
        <v>13</v>
      </c>
      <c r="I17" s="249"/>
      <c r="J17" s="33" t="s">
        <v>148</v>
      </c>
      <c r="K17" s="317"/>
      <c r="L17" s="250"/>
      <c r="M17" s="251"/>
      <c r="N17" s="252">
        <v>0</v>
      </c>
      <c r="O17" s="253">
        <f t="shared" si="0"/>
        <v>13</v>
      </c>
      <c r="R17" s="224">
        <f t="shared" si="1"/>
        <v>0</v>
      </c>
      <c r="S17" s="224">
        <f t="shared" si="2"/>
        <v>0</v>
      </c>
    </row>
    <row r="18" spans="2:19" ht="19.5" customHeight="1">
      <c r="B18" s="31" t="s">
        <v>11</v>
      </c>
      <c r="C18" s="249"/>
      <c r="D18" s="33" t="s">
        <v>154</v>
      </c>
      <c r="E18" s="317"/>
      <c r="F18" s="250"/>
      <c r="G18" s="251"/>
      <c r="H18" s="252">
        <v>0</v>
      </c>
      <c r="I18" s="249"/>
      <c r="J18" s="33" t="s">
        <v>155</v>
      </c>
      <c r="K18" s="317"/>
      <c r="L18" s="250"/>
      <c r="M18" s="251"/>
      <c r="N18" s="252">
        <v>10</v>
      </c>
      <c r="O18" s="253">
        <f t="shared" si="0"/>
        <v>10</v>
      </c>
      <c r="R18" s="224">
        <f t="shared" si="1"/>
        <v>0</v>
      </c>
      <c r="S18" s="224">
        <f t="shared" si="2"/>
        <v>0</v>
      </c>
    </row>
    <row r="19" spans="2:19" ht="19.5" customHeight="1">
      <c r="B19" s="31" t="s">
        <v>12</v>
      </c>
      <c r="C19" s="249"/>
      <c r="D19" s="33" t="s">
        <v>139</v>
      </c>
      <c r="E19" s="317"/>
      <c r="F19" s="250"/>
      <c r="G19" s="251"/>
      <c r="H19" s="252">
        <v>8</v>
      </c>
      <c r="I19" s="249"/>
      <c r="J19" s="33" t="s">
        <v>138</v>
      </c>
      <c r="K19" s="317"/>
      <c r="L19" s="250"/>
      <c r="M19" s="251"/>
      <c r="N19" s="252">
        <v>0</v>
      </c>
      <c r="O19" s="253">
        <f t="shared" si="0"/>
        <v>8</v>
      </c>
      <c r="R19" s="224">
        <f t="shared" si="1"/>
        <v>0</v>
      </c>
      <c r="S19" s="224">
        <f t="shared" si="2"/>
        <v>0</v>
      </c>
    </row>
    <row r="20" spans="2:19" ht="19.5" customHeight="1">
      <c r="B20" s="31" t="s">
        <v>13</v>
      </c>
      <c r="C20" s="249"/>
      <c r="D20" s="33" t="s">
        <v>143</v>
      </c>
      <c r="E20" s="317"/>
      <c r="F20" s="250"/>
      <c r="G20" s="251"/>
      <c r="H20" s="252">
        <v>0</v>
      </c>
      <c r="I20" s="249"/>
      <c r="J20" s="33" t="s">
        <v>142</v>
      </c>
      <c r="K20" s="317"/>
      <c r="L20" s="250"/>
      <c r="M20" s="251"/>
      <c r="N20" s="252">
        <v>8</v>
      </c>
      <c r="O20" s="253">
        <f t="shared" si="0"/>
        <v>8</v>
      </c>
      <c r="R20" s="224">
        <f t="shared" si="1"/>
        <v>0</v>
      </c>
      <c r="S20" s="224">
        <f t="shared" si="2"/>
        <v>0</v>
      </c>
    </row>
    <row r="21" spans="2:19" ht="19.5" customHeight="1">
      <c r="B21" s="31" t="s">
        <v>14</v>
      </c>
      <c r="C21" s="249"/>
      <c r="D21" s="33" t="s">
        <v>157</v>
      </c>
      <c r="E21" s="317"/>
      <c r="F21" s="250"/>
      <c r="G21" s="251"/>
      <c r="H21" s="252">
        <v>0</v>
      </c>
      <c r="I21" s="249"/>
      <c r="J21" s="33" t="s">
        <v>156</v>
      </c>
      <c r="K21" s="317"/>
      <c r="L21" s="250"/>
      <c r="M21" s="251"/>
      <c r="N21" s="252">
        <v>7</v>
      </c>
      <c r="O21" s="253">
        <f t="shared" si="0"/>
        <v>7</v>
      </c>
      <c r="R21" s="224">
        <f t="shared" si="1"/>
        <v>0</v>
      </c>
      <c r="S21" s="224">
        <f t="shared" si="2"/>
        <v>0</v>
      </c>
    </row>
    <row r="22" spans="2:19" ht="19.5" customHeight="1">
      <c r="B22" s="31" t="s">
        <v>15</v>
      </c>
      <c r="C22" s="249"/>
      <c r="D22" s="33" t="s">
        <v>153</v>
      </c>
      <c r="E22" s="317"/>
      <c r="F22" s="250"/>
      <c r="G22" s="251"/>
      <c r="H22" s="252">
        <v>0</v>
      </c>
      <c r="I22" s="249"/>
      <c r="J22" s="33" t="s">
        <v>152</v>
      </c>
      <c r="K22" s="317"/>
      <c r="L22" s="250"/>
      <c r="M22" s="251"/>
      <c r="N22" s="252">
        <v>6</v>
      </c>
      <c r="O22" s="253">
        <f t="shared" si="0"/>
        <v>6</v>
      </c>
      <c r="R22" s="224">
        <f t="shared" si="1"/>
        <v>0</v>
      </c>
      <c r="S22" s="224">
        <f t="shared" si="2"/>
        <v>0</v>
      </c>
    </row>
    <row r="23" spans="2:19" ht="19.5" customHeight="1">
      <c r="B23" s="31" t="s">
        <v>16</v>
      </c>
      <c r="C23" s="249"/>
      <c r="D23" s="33" t="s">
        <v>128</v>
      </c>
      <c r="E23" s="317"/>
      <c r="F23" s="248"/>
      <c r="G23" s="251"/>
      <c r="H23" s="252">
        <v>0</v>
      </c>
      <c r="I23" s="249"/>
      <c r="J23" s="33" t="s">
        <v>129</v>
      </c>
      <c r="K23" s="317"/>
      <c r="L23" s="250"/>
      <c r="M23" s="251"/>
      <c r="N23" s="252">
        <v>0</v>
      </c>
      <c r="O23" s="253">
        <f t="shared" si="0"/>
        <v>0</v>
      </c>
      <c r="R23" s="224">
        <f t="shared" si="1"/>
        <v>0</v>
      </c>
      <c r="S23" s="224">
        <f t="shared" si="2"/>
        <v>0</v>
      </c>
    </row>
    <row r="24" spans="2:19" ht="19.5" customHeight="1">
      <c r="B24" s="31" t="s">
        <v>17</v>
      </c>
      <c r="C24" s="249"/>
      <c r="D24" s="33" t="s">
        <v>131</v>
      </c>
      <c r="E24" s="317"/>
      <c r="F24" s="250"/>
      <c r="G24" s="251"/>
      <c r="H24" s="252">
        <v>0</v>
      </c>
      <c r="I24" s="249"/>
      <c r="J24" s="33" t="s">
        <v>130</v>
      </c>
      <c r="K24" s="317"/>
      <c r="L24" s="250"/>
      <c r="M24" s="251"/>
      <c r="N24" s="252">
        <v>0</v>
      </c>
      <c r="O24" s="253">
        <f t="shared" si="0"/>
        <v>0</v>
      </c>
      <c r="R24" s="224">
        <f t="shared" si="1"/>
        <v>0</v>
      </c>
      <c r="S24" s="224">
        <f t="shared" si="2"/>
        <v>0</v>
      </c>
    </row>
    <row r="25" spans="2:19" ht="19.5" customHeight="1">
      <c r="B25" s="31" t="s">
        <v>18</v>
      </c>
      <c r="C25" s="249" t="s">
        <v>121</v>
      </c>
      <c r="D25" s="33" t="s">
        <v>121</v>
      </c>
      <c r="E25" s="250" t="s">
        <v>121</v>
      </c>
      <c r="F25" s="250" t="s">
        <v>121</v>
      </c>
      <c r="G25" s="251" t="s">
        <v>121</v>
      </c>
      <c r="H25" s="252" t="s">
        <v>121</v>
      </c>
      <c r="I25" s="249" t="s">
        <v>121</v>
      </c>
      <c r="J25" s="33" t="s">
        <v>121</v>
      </c>
      <c r="K25" s="250" t="s">
        <v>121</v>
      </c>
      <c r="L25" s="250" t="s">
        <v>121</v>
      </c>
      <c r="M25" s="251" t="s">
        <v>121</v>
      </c>
      <c r="N25" s="252" t="s">
        <v>121</v>
      </c>
      <c r="O25" s="253" t="s">
        <v>121</v>
      </c>
      <c r="R25" s="224" t="str">
        <f t="shared" si="1"/>
        <v>-</v>
      </c>
      <c r="S25" s="224" t="str">
        <f t="shared" si="2"/>
        <v>-</v>
      </c>
    </row>
    <row r="26" spans="2:19" ht="19.5" customHeight="1">
      <c r="B26" s="31" t="s">
        <v>19</v>
      </c>
      <c r="C26" s="249" t="s">
        <v>121</v>
      </c>
      <c r="D26" s="33" t="s">
        <v>121</v>
      </c>
      <c r="E26" s="250" t="s">
        <v>121</v>
      </c>
      <c r="F26" s="250" t="s">
        <v>121</v>
      </c>
      <c r="G26" s="251" t="s">
        <v>121</v>
      </c>
      <c r="H26" s="252" t="s">
        <v>121</v>
      </c>
      <c r="I26" s="249" t="s">
        <v>121</v>
      </c>
      <c r="J26" s="33" t="s">
        <v>121</v>
      </c>
      <c r="K26" s="250" t="s">
        <v>121</v>
      </c>
      <c r="L26" s="250" t="s">
        <v>121</v>
      </c>
      <c r="M26" s="251" t="s">
        <v>121</v>
      </c>
      <c r="N26" s="252" t="s">
        <v>121</v>
      </c>
      <c r="O26" s="253" t="s">
        <v>121</v>
      </c>
      <c r="R26" s="224" t="str">
        <f t="shared" si="1"/>
        <v>-</v>
      </c>
      <c r="S26" s="224" t="str">
        <f t="shared" si="2"/>
        <v>-</v>
      </c>
    </row>
    <row r="27" spans="2:19" ht="19.5" customHeight="1">
      <c r="B27" s="31" t="s">
        <v>20</v>
      </c>
      <c r="C27" s="249" t="s">
        <v>121</v>
      </c>
      <c r="D27" s="33" t="s">
        <v>121</v>
      </c>
      <c r="E27" s="250" t="s">
        <v>121</v>
      </c>
      <c r="F27" s="250" t="s">
        <v>121</v>
      </c>
      <c r="G27" s="251" t="s">
        <v>121</v>
      </c>
      <c r="H27" s="252" t="s">
        <v>121</v>
      </c>
      <c r="I27" s="249" t="s">
        <v>121</v>
      </c>
      <c r="J27" s="33" t="s">
        <v>121</v>
      </c>
      <c r="K27" s="250" t="s">
        <v>121</v>
      </c>
      <c r="L27" s="250" t="s">
        <v>121</v>
      </c>
      <c r="M27" s="251" t="s">
        <v>121</v>
      </c>
      <c r="N27" s="252" t="s">
        <v>121</v>
      </c>
      <c r="O27" s="253" t="s">
        <v>121</v>
      </c>
      <c r="R27" s="224" t="str">
        <f t="shared" si="1"/>
        <v>-</v>
      </c>
      <c r="S27" s="224" t="str">
        <f t="shared" si="2"/>
        <v>-</v>
      </c>
    </row>
    <row r="28" spans="2:19" ht="19.5" customHeight="1">
      <c r="B28" s="31" t="s">
        <v>21</v>
      </c>
      <c r="C28" s="249" t="s">
        <v>121</v>
      </c>
      <c r="D28" s="33" t="s">
        <v>121</v>
      </c>
      <c r="E28" s="250" t="s">
        <v>121</v>
      </c>
      <c r="F28" s="250" t="s">
        <v>121</v>
      </c>
      <c r="G28" s="251" t="s">
        <v>121</v>
      </c>
      <c r="H28" s="252" t="s">
        <v>121</v>
      </c>
      <c r="I28" s="249" t="s">
        <v>121</v>
      </c>
      <c r="J28" s="33" t="s">
        <v>121</v>
      </c>
      <c r="K28" s="250" t="s">
        <v>121</v>
      </c>
      <c r="L28" s="250" t="s">
        <v>121</v>
      </c>
      <c r="M28" s="251" t="s">
        <v>121</v>
      </c>
      <c r="N28" s="252" t="s">
        <v>121</v>
      </c>
      <c r="O28" s="253" t="s">
        <v>121</v>
      </c>
      <c r="R28" s="224" t="str">
        <f t="shared" si="1"/>
        <v>-</v>
      </c>
      <c r="S28" s="224" t="str">
        <f t="shared" si="2"/>
        <v>-</v>
      </c>
    </row>
    <row r="29" spans="2:19" ht="19.5" customHeight="1">
      <c r="B29" s="31" t="s">
        <v>22</v>
      </c>
      <c r="C29" s="249" t="s">
        <v>121</v>
      </c>
      <c r="D29" s="33" t="s">
        <v>121</v>
      </c>
      <c r="E29" s="250" t="s">
        <v>121</v>
      </c>
      <c r="F29" s="250" t="s">
        <v>121</v>
      </c>
      <c r="G29" s="251" t="s">
        <v>121</v>
      </c>
      <c r="H29" s="252" t="s">
        <v>121</v>
      </c>
      <c r="I29" s="249" t="s">
        <v>121</v>
      </c>
      <c r="J29" s="33" t="s">
        <v>121</v>
      </c>
      <c r="K29" s="250" t="s">
        <v>121</v>
      </c>
      <c r="L29" s="250" t="s">
        <v>121</v>
      </c>
      <c r="M29" s="251" t="s">
        <v>121</v>
      </c>
      <c r="N29" s="252" t="s">
        <v>121</v>
      </c>
      <c r="O29" s="253" t="s">
        <v>121</v>
      </c>
      <c r="R29" s="224" t="str">
        <f t="shared" si="1"/>
        <v>-</v>
      </c>
      <c r="S29" s="224" t="str">
        <f t="shared" si="2"/>
        <v>-</v>
      </c>
    </row>
    <row r="30" spans="2:19" ht="19.5" customHeight="1">
      <c r="B30" s="31" t="s">
        <v>23</v>
      </c>
      <c r="C30" s="249" t="s">
        <v>121</v>
      </c>
      <c r="D30" s="33" t="s">
        <v>121</v>
      </c>
      <c r="E30" s="250" t="s">
        <v>121</v>
      </c>
      <c r="F30" s="250" t="s">
        <v>121</v>
      </c>
      <c r="G30" s="251" t="s">
        <v>121</v>
      </c>
      <c r="H30" s="252" t="s">
        <v>121</v>
      </c>
      <c r="I30" s="249" t="s">
        <v>121</v>
      </c>
      <c r="J30" s="33" t="s">
        <v>121</v>
      </c>
      <c r="K30" s="250" t="s">
        <v>121</v>
      </c>
      <c r="L30" s="250" t="s">
        <v>121</v>
      </c>
      <c r="M30" s="251" t="s">
        <v>121</v>
      </c>
      <c r="N30" s="252" t="s">
        <v>121</v>
      </c>
      <c r="O30" s="253" t="s">
        <v>121</v>
      </c>
      <c r="R30" s="224" t="str">
        <f t="shared" si="1"/>
        <v>-</v>
      </c>
      <c r="S30" s="224" t="str">
        <f t="shared" si="2"/>
        <v>-</v>
      </c>
    </row>
    <row r="31" spans="2:19" ht="19.5" customHeight="1">
      <c r="B31" s="31" t="s">
        <v>24</v>
      </c>
      <c r="C31" s="249" t="s">
        <v>121</v>
      </c>
      <c r="D31" s="33" t="s">
        <v>121</v>
      </c>
      <c r="E31" s="250" t="s">
        <v>121</v>
      </c>
      <c r="F31" s="250" t="s">
        <v>121</v>
      </c>
      <c r="G31" s="251" t="s">
        <v>121</v>
      </c>
      <c r="H31" s="252" t="s">
        <v>121</v>
      </c>
      <c r="I31" s="249" t="s">
        <v>121</v>
      </c>
      <c r="J31" s="33" t="s">
        <v>121</v>
      </c>
      <c r="K31" s="250" t="s">
        <v>121</v>
      </c>
      <c r="L31" s="250" t="s">
        <v>121</v>
      </c>
      <c r="M31" s="251" t="s">
        <v>121</v>
      </c>
      <c r="N31" s="252" t="s">
        <v>121</v>
      </c>
      <c r="O31" s="253" t="s">
        <v>121</v>
      </c>
      <c r="R31" s="224" t="str">
        <f t="shared" si="1"/>
        <v>-</v>
      </c>
      <c r="S31" s="224" t="str">
        <f t="shared" si="2"/>
        <v>-</v>
      </c>
    </row>
    <row r="32" spans="2:19" ht="19.5" customHeight="1">
      <c r="B32" s="31" t="s">
        <v>25</v>
      </c>
      <c r="C32" s="249" t="s">
        <v>121</v>
      </c>
      <c r="D32" s="33" t="s">
        <v>121</v>
      </c>
      <c r="E32" s="250" t="s">
        <v>121</v>
      </c>
      <c r="F32" s="250" t="s">
        <v>121</v>
      </c>
      <c r="G32" s="251" t="s">
        <v>121</v>
      </c>
      <c r="H32" s="252" t="s">
        <v>121</v>
      </c>
      <c r="I32" s="249" t="s">
        <v>121</v>
      </c>
      <c r="J32" s="33" t="s">
        <v>121</v>
      </c>
      <c r="K32" s="250" t="s">
        <v>121</v>
      </c>
      <c r="L32" s="250" t="s">
        <v>121</v>
      </c>
      <c r="M32" s="251" t="s">
        <v>121</v>
      </c>
      <c r="N32" s="252" t="s">
        <v>121</v>
      </c>
      <c r="O32" s="253" t="s">
        <v>121</v>
      </c>
      <c r="R32" s="224" t="str">
        <f t="shared" si="1"/>
        <v>-</v>
      </c>
      <c r="S32" s="224" t="str">
        <f t="shared" si="2"/>
        <v>-</v>
      </c>
    </row>
    <row r="33" spans="1:19" ht="19.5" customHeight="1">
      <c r="B33" s="31" t="s">
        <v>26</v>
      </c>
      <c r="C33" s="249" t="s">
        <v>121</v>
      </c>
      <c r="D33" s="33" t="s">
        <v>121</v>
      </c>
      <c r="E33" s="250" t="s">
        <v>121</v>
      </c>
      <c r="F33" s="250" t="s">
        <v>121</v>
      </c>
      <c r="G33" s="251" t="s">
        <v>121</v>
      </c>
      <c r="H33" s="252" t="s">
        <v>121</v>
      </c>
      <c r="I33" s="249" t="s">
        <v>121</v>
      </c>
      <c r="J33" s="33" t="s">
        <v>121</v>
      </c>
      <c r="K33" s="250" t="s">
        <v>121</v>
      </c>
      <c r="L33" s="250" t="s">
        <v>121</v>
      </c>
      <c r="M33" s="251" t="s">
        <v>121</v>
      </c>
      <c r="N33" s="252" t="s">
        <v>121</v>
      </c>
      <c r="O33" s="253" t="s">
        <v>121</v>
      </c>
      <c r="R33" s="224" t="str">
        <f t="shared" si="1"/>
        <v>-</v>
      </c>
      <c r="S33" s="224" t="str">
        <f t="shared" si="2"/>
        <v>-</v>
      </c>
    </row>
    <row r="34" spans="1:19" ht="19.5" customHeight="1">
      <c r="B34" s="31" t="s">
        <v>27</v>
      </c>
      <c r="C34" s="249" t="s">
        <v>121</v>
      </c>
      <c r="D34" s="33" t="s">
        <v>121</v>
      </c>
      <c r="E34" s="250" t="s">
        <v>121</v>
      </c>
      <c r="F34" s="250" t="s">
        <v>121</v>
      </c>
      <c r="G34" s="251" t="s">
        <v>121</v>
      </c>
      <c r="H34" s="252" t="s">
        <v>121</v>
      </c>
      <c r="I34" s="249" t="s">
        <v>121</v>
      </c>
      <c r="J34" s="33" t="s">
        <v>121</v>
      </c>
      <c r="K34" s="250" t="s">
        <v>121</v>
      </c>
      <c r="L34" s="250" t="s">
        <v>121</v>
      </c>
      <c r="M34" s="251" t="s">
        <v>121</v>
      </c>
      <c r="N34" s="252" t="s">
        <v>121</v>
      </c>
      <c r="O34" s="253" t="s">
        <v>121</v>
      </c>
      <c r="R34" s="224" t="str">
        <f t="shared" si="1"/>
        <v>-</v>
      </c>
      <c r="S34" s="224" t="str">
        <f t="shared" si="2"/>
        <v>-</v>
      </c>
    </row>
    <row r="35" spans="1:19" ht="19.5" customHeight="1">
      <c r="B35" s="31" t="s">
        <v>28</v>
      </c>
      <c r="C35" s="249" t="s">
        <v>121</v>
      </c>
      <c r="D35" s="33" t="s">
        <v>121</v>
      </c>
      <c r="E35" s="250" t="s">
        <v>121</v>
      </c>
      <c r="F35" s="250" t="s">
        <v>121</v>
      </c>
      <c r="G35" s="251" t="s">
        <v>121</v>
      </c>
      <c r="H35" s="252" t="s">
        <v>121</v>
      </c>
      <c r="I35" s="249" t="s">
        <v>121</v>
      </c>
      <c r="J35" s="33" t="s">
        <v>121</v>
      </c>
      <c r="K35" s="250" t="s">
        <v>121</v>
      </c>
      <c r="L35" s="250" t="s">
        <v>121</v>
      </c>
      <c r="M35" s="251" t="s">
        <v>121</v>
      </c>
      <c r="N35" s="252" t="s">
        <v>121</v>
      </c>
      <c r="O35" s="253" t="s">
        <v>121</v>
      </c>
      <c r="R35" s="224" t="str">
        <f t="shared" si="1"/>
        <v>-</v>
      </c>
      <c r="S35" s="224" t="str">
        <f t="shared" si="2"/>
        <v>-</v>
      </c>
    </row>
    <row r="36" spans="1:19" ht="19.5" customHeight="1">
      <c r="B36" s="31" t="s">
        <v>29</v>
      </c>
      <c r="C36" s="249" t="s">
        <v>121</v>
      </c>
      <c r="D36" s="33" t="s">
        <v>121</v>
      </c>
      <c r="E36" s="250" t="s">
        <v>121</v>
      </c>
      <c r="F36" s="250" t="s">
        <v>121</v>
      </c>
      <c r="G36" s="251" t="s">
        <v>121</v>
      </c>
      <c r="H36" s="252" t="s">
        <v>121</v>
      </c>
      <c r="I36" s="249" t="s">
        <v>121</v>
      </c>
      <c r="J36" s="33" t="s">
        <v>121</v>
      </c>
      <c r="K36" s="250" t="s">
        <v>121</v>
      </c>
      <c r="L36" s="250" t="s">
        <v>121</v>
      </c>
      <c r="M36" s="251" t="s">
        <v>121</v>
      </c>
      <c r="N36" s="252" t="s">
        <v>121</v>
      </c>
      <c r="O36" s="253" t="s">
        <v>121</v>
      </c>
      <c r="R36" s="224" t="str">
        <f t="shared" si="1"/>
        <v>-</v>
      </c>
      <c r="S36" s="224" t="str">
        <f t="shared" si="2"/>
        <v>-</v>
      </c>
    </row>
    <row r="37" spans="1:19" ht="19.5" customHeight="1">
      <c r="B37" s="31" t="s">
        <v>30</v>
      </c>
      <c r="C37" s="249" t="s">
        <v>121</v>
      </c>
      <c r="D37" s="33" t="s">
        <v>121</v>
      </c>
      <c r="E37" s="250" t="s">
        <v>121</v>
      </c>
      <c r="F37" s="250" t="s">
        <v>121</v>
      </c>
      <c r="G37" s="251" t="s">
        <v>121</v>
      </c>
      <c r="H37" s="252" t="s">
        <v>121</v>
      </c>
      <c r="I37" s="249" t="s">
        <v>121</v>
      </c>
      <c r="J37" s="33" t="s">
        <v>121</v>
      </c>
      <c r="K37" s="250" t="s">
        <v>121</v>
      </c>
      <c r="L37" s="250" t="s">
        <v>121</v>
      </c>
      <c r="M37" s="251" t="s">
        <v>121</v>
      </c>
      <c r="N37" s="252" t="s">
        <v>121</v>
      </c>
      <c r="O37" s="253" t="s">
        <v>121</v>
      </c>
      <c r="R37" s="224" t="str">
        <f t="shared" si="1"/>
        <v>-</v>
      </c>
      <c r="S37" s="224" t="str">
        <f t="shared" si="2"/>
        <v>-</v>
      </c>
    </row>
    <row r="38" spans="1:19" ht="19.5" customHeight="1">
      <c r="B38" s="31" t="s">
        <v>31</v>
      </c>
      <c r="C38" s="249" t="s">
        <v>121</v>
      </c>
      <c r="D38" s="33" t="s">
        <v>121</v>
      </c>
      <c r="E38" s="250" t="s">
        <v>121</v>
      </c>
      <c r="F38" s="250" t="s">
        <v>121</v>
      </c>
      <c r="G38" s="251" t="s">
        <v>121</v>
      </c>
      <c r="H38" s="252" t="s">
        <v>121</v>
      </c>
      <c r="I38" s="249" t="s">
        <v>121</v>
      </c>
      <c r="J38" s="33" t="s">
        <v>121</v>
      </c>
      <c r="K38" s="250" t="s">
        <v>121</v>
      </c>
      <c r="L38" s="250" t="s">
        <v>121</v>
      </c>
      <c r="M38" s="251" t="s">
        <v>121</v>
      </c>
      <c r="N38" s="252" t="s">
        <v>121</v>
      </c>
      <c r="O38" s="253" t="s">
        <v>121</v>
      </c>
      <c r="R38" s="224" t="str">
        <f t="shared" si="1"/>
        <v>-</v>
      </c>
      <c r="S38" s="224" t="str">
        <f>I38</f>
        <v>-</v>
      </c>
    </row>
    <row r="39" spans="1:19" ht="19.5" customHeight="1">
      <c r="B39" s="31" t="s">
        <v>32</v>
      </c>
      <c r="C39" s="249" t="s">
        <v>121</v>
      </c>
      <c r="D39" s="33" t="s">
        <v>121</v>
      </c>
      <c r="E39" s="250" t="s">
        <v>121</v>
      </c>
      <c r="F39" s="250" t="s">
        <v>121</v>
      </c>
      <c r="G39" s="251" t="s">
        <v>121</v>
      </c>
      <c r="H39" s="252" t="s">
        <v>121</v>
      </c>
      <c r="I39" s="249" t="s">
        <v>121</v>
      </c>
      <c r="J39" s="33" t="s">
        <v>121</v>
      </c>
      <c r="K39" s="250" t="s">
        <v>121</v>
      </c>
      <c r="L39" s="250" t="s">
        <v>121</v>
      </c>
      <c r="M39" s="251" t="s">
        <v>121</v>
      </c>
      <c r="N39" s="252" t="s">
        <v>121</v>
      </c>
      <c r="O39" s="253" t="s">
        <v>121</v>
      </c>
      <c r="R39" s="224" t="str">
        <f t="shared" si="1"/>
        <v>-</v>
      </c>
      <c r="S39" s="224" t="str">
        <f>I39</f>
        <v>-</v>
      </c>
    </row>
    <row r="40" spans="1:19" ht="20.100000000000001" customHeight="1">
      <c r="B40" s="23" t="s">
        <v>46</v>
      </c>
      <c r="C40" s="24" t="s">
        <v>46</v>
      </c>
      <c r="D40" s="25" t="s">
        <v>46</v>
      </c>
      <c r="E40" s="26" t="s">
        <v>46</v>
      </c>
      <c r="G40" s="25" t="s">
        <v>46</v>
      </c>
      <c r="H40" s="26" t="s">
        <v>46</v>
      </c>
      <c r="I40" s="24" t="s">
        <v>46</v>
      </c>
      <c r="J40" s="25" t="s">
        <v>46</v>
      </c>
      <c r="K40" s="26" t="s">
        <v>46</v>
      </c>
      <c r="M40" s="25" t="s">
        <v>46</v>
      </c>
      <c r="N40" s="26" t="s">
        <v>46</v>
      </c>
      <c r="R40" s="225"/>
      <c r="S40" s="225"/>
    </row>
    <row r="41" spans="1:19" ht="20.100000000000001" customHeight="1">
      <c r="A41" s="259" t="str">
        <f>IF(info!C$7="","", CONCATENATE(info!B$7," ",info!C$7))</f>
        <v>Obsługa komputerowa Michał Majcher</v>
      </c>
      <c r="B41" s="20"/>
      <c r="C41" s="35"/>
      <c r="D41" s="36"/>
      <c r="E41" s="36"/>
      <c r="F41" s="36"/>
      <c r="G41" s="35"/>
      <c r="H41" s="35"/>
      <c r="I41" s="35"/>
      <c r="J41" s="36"/>
      <c r="K41" s="36"/>
      <c r="L41" s="36"/>
      <c r="M41" s="35"/>
      <c r="N41" s="35"/>
      <c r="O41" s="207"/>
      <c r="P41" s="17" t="str">
        <f>IF(info!C$6="","", CONCATENATE(info!B$6," ",info!C$6))</f>
        <v>Sędzia Główny Bartosz Majcher</v>
      </c>
      <c r="Q41" s="230"/>
      <c r="R41" s="225"/>
      <c r="S41" s="225"/>
    </row>
    <row r="42" spans="1:19" ht="20.100000000000001" customHeight="1">
      <c r="P42" s="261"/>
      <c r="R42" s="225"/>
      <c r="S42" s="225"/>
    </row>
  </sheetData>
  <sheetProtection formatCells="0" formatColumns="0" formatRows="0" insertColumns="0" insertRows="0"/>
  <sortState ref="D8:O24">
    <sortCondition descending="1" ref="O8:O24"/>
  </sortState>
  <mergeCells count="3">
    <mergeCell ref="B1:P1"/>
    <mergeCell ref="A3:P3"/>
    <mergeCell ref="A4:P4"/>
  </mergeCells>
  <printOptions horizontalCentered="1"/>
  <pageMargins left="0.39370078740157483" right="0.39370078740157483" top="0.23622047244094491" bottom="0.19685039370078741" header="0" footer="0"/>
  <pageSetup paperSize="9" scale="54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X122"/>
  <sheetViews>
    <sheetView tabSelected="1" topLeftCell="A16" zoomScale="70" zoomScaleNormal="70" workbookViewId="0">
      <selection activeCell="I115" sqref="I115:J115"/>
    </sheetView>
  </sheetViews>
  <sheetFormatPr defaultColWidth="9.140625" defaultRowHeight="18.75"/>
  <cols>
    <col min="1" max="1" width="4.7109375" style="132" customWidth="1"/>
    <col min="2" max="2" width="4.85546875" style="80" customWidth="1"/>
    <col min="3" max="3" width="23.28515625" style="74" customWidth="1"/>
    <col min="4" max="4" width="3.7109375" style="123" customWidth="1"/>
    <col min="5" max="5" width="4.85546875" style="73" customWidth="1"/>
    <col min="6" max="6" width="23.28515625" style="74" customWidth="1"/>
    <col min="7" max="7" width="3.7109375" style="75" customWidth="1"/>
    <col min="8" max="8" width="4.85546875" style="73" customWidth="1"/>
    <col min="9" max="9" width="23.28515625" style="74" customWidth="1"/>
    <col min="10" max="10" width="3.7109375" style="75" customWidth="1"/>
    <col min="11" max="11" width="4.85546875" style="76" customWidth="1"/>
    <col min="12" max="12" width="23.28515625" style="74" customWidth="1"/>
    <col min="13" max="13" width="3.7109375" style="77" customWidth="1"/>
    <col min="14" max="15" width="9.140625" style="74"/>
    <col min="16" max="16" width="9.140625" style="125"/>
    <col min="17" max="20" width="20.7109375" style="125" customWidth="1"/>
    <col min="21" max="21" width="21.7109375" style="125" customWidth="1"/>
    <col min="22" max="16384" width="9.140625" style="74"/>
  </cols>
  <sheetData>
    <row r="1" spans="1:21" s="48" customFormat="1" ht="43.5" customHeight="1">
      <c r="A1" s="46"/>
      <c r="B1" s="47"/>
      <c r="C1" s="334" t="str">
        <f>IF(info!C3="","",CONCATENATE(info!C3,", ",info!C4," ",info!C5))</f>
        <v>64. Mistrzostwa Polski Kolejarzy, Suchedniów 21-23.04.2023r.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P1" s="49"/>
      <c r="Q1" s="49"/>
      <c r="R1" s="49"/>
      <c r="S1" s="49"/>
      <c r="T1" s="49"/>
      <c r="U1" s="49"/>
    </row>
    <row r="2" spans="1:21" s="48" customFormat="1" ht="20.100000000000001" customHeight="1">
      <c r="A2" s="50"/>
      <c r="B2" s="51"/>
      <c r="D2" s="52"/>
      <c r="E2" s="53"/>
      <c r="F2" s="51"/>
      <c r="G2" s="54"/>
      <c r="H2" s="53"/>
      <c r="J2" s="55"/>
      <c r="K2" s="56"/>
      <c r="P2" s="49"/>
      <c r="Q2" s="49"/>
      <c r="R2" s="49"/>
      <c r="S2" s="49"/>
      <c r="T2" s="49"/>
      <c r="U2" s="49"/>
    </row>
    <row r="3" spans="1:21" s="48" customFormat="1" ht="28.5" customHeight="1">
      <c r="A3" s="335" t="str">
        <f>CONCATENATE(IF(info!C8="","",info!C8)," - turniej główny 1/2")</f>
        <v>GRA MIESZANA - turniej główny 1/2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P3" s="49"/>
      <c r="Q3" s="49"/>
      <c r="R3" s="49"/>
      <c r="S3" s="49"/>
      <c r="T3" s="49"/>
      <c r="U3" s="49"/>
    </row>
    <row r="4" spans="1:21" s="48" customFormat="1" ht="20.100000000000001" customHeight="1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P4" s="49"/>
      <c r="Q4" s="49"/>
      <c r="R4" s="49"/>
      <c r="S4" s="49"/>
      <c r="T4" s="49"/>
      <c r="U4" s="49"/>
    </row>
    <row r="5" spans="1:21" s="49" customFormat="1" ht="20.100000000000001" customHeight="1">
      <c r="A5" s="65"/>
      <c r="B5" s="339" t="s">
        <v>58</v>
      </c>
      <c r="C5" s="339"/>
      <c r="D5" s="339"/>
      <c r="E5" s="339" t="s">
        <v>35</v>
      </c>
      <c r="F5" s="339"/>
      <c r="G5" s="339"/>
      <c r="H5" s="339" t="s">
        <v>36</v>
      </c>
      <c r="I5" s="339"/>
      <c r="J5" s="339"/>
      <c r="K5" s="339" t="s">
        <v>37</v>
      </c>
      <c r="L5" s="339"/>
      <c r="M5" s="339"/>
      <c r="P5" s="66" t="s">
        <v>60</v>
      </c>
      <c r="Q5" s="66" t="s">
        <v>104</v>
      </c>
      <c r="R5" s="66" t="s">
        <v>105</v>
      </c>
      <c r="S5" s="66" t="s">
        <v>106</v>
      </c>
      <c r="T5" s="66" t="s">
        <v>107</v>
      </c>
      <c r="U5" s="66" t="s">
        <v>61</v>
      </c>
    </row>
    <row r="6" spans="1:21" s="48" customFormat="1" ht="20.100000000000001" customHeight="1">
      <c r="A6" s="59"/>
      <c r="B6" s="67"/>
      <c r="C6" s="67"/>
      <c r="D6" s="68"/>
      <c r="E6" s="62"/>
      <c r="F6" s="60"/>
      <c r="G6" s="63"/>
      <c r="H6" s="62"/>
      <c r="I6" s="60"/>
      <c r="J6" s="63"/>
      <c r="K6" s="62"/>
      <c r="L6" s="60"/>
      <c r="M6" s="60"/>
      <c r="P6" s="367">
        <v>101</v>
      </c>
      <c r="Q6" s="267" t="str">
        <f>C7</f>
        <v>KASPRZAK Natalia</v>
      </c>
      <c r="R6" s="267" t="str">
        <f>C8</f>
        <v>PAWŁOWSKI Stanisław</v>
      </c>
      <c r="S6" s="267" t="str">
        <f>C10</f>
        <v>-</v>
      </c>
      <c r="T6" s="267" t="str">
        <f>C11</f>
        <v>-</v>
      </c>
      <c r="U6" s="267" t="s">
        <v>46</v>
      </c>
    </row>
    <row r="7" spans="1:21" ht="20.100000000000001" customHeight="1">
      <c r="A7" s="342" t="s">
        <v>55</v>
      </c>
      <c r="B7" s="69"/>
      <c r="C7" s="343" t="str">
        <f>VLOOKUP("1.",lista!B8:O39,3,FALSE)</f>
        <v>KASPRZAK Natalia</v>
      </c>
      <c r="D7" s="344"/>
      <c r="E7" s="70"/>
      <c r="F7" s="71"/>
      <c r="G7" s="72"/>
      <c r="P7" s="367">
        <v>102</v>
      </c>
      <c r="Q7" s="267" t="str">
        <f>C13</f>
        <v>URBAŃCZYK Mariola</v>
      </c>
      <c r="R7" s="267" t="str">
        <f>C14</f>
        <v>URBAŃCZYK Piotr</v>
      </c>
      <c r="S7" s="267" t="str">
        <f>C16</f>
        <v>DUDZIAK Anna</v>
      </c>
      <c r="T7" s="267" t="str">
        <f>C17</f>
        <v>GŁADYSZ Janusz</v>
      </c>
      <c r="U7" s="267" t="s">
        <v>46</v>
      </c>
    </row>
    <row r="8" spans="1:21" ht="20.100000000000001" customHeight="1">
      <c r="A8" s="342"/>
      <c r="B8" s="69"/>
      <c r="C8" s="343" t="str">
        <f>VLOOKUP("1.",lista!B8:O39,9,FALSE)</f>
        <v>PAWŁOWSKI Stanisław</v>
      </c>
      <c r="D8" s="344"/>
      <c r="E8" s="78"/>
      <c r="F8" s="331" t="str">
        <f>IF(E10=1,C7,IF(E10=2,C10," "))</f>
        <v>KASPRZAK Natalia</v>
      </c>
      <c r="G8" s="331"/>
      <c r="P8" s="367">
        <v>103</v>
      </c>
      <c r="Q8" s="267" t="str">
        <f>C19</f>
        <v>CIEŚLIK Małgorzata</v>
      </c>
      <c r="R8" s="267" t="str">
        <f>C20</f>
        <v>PAŁĘGA Józef</v>
      </c>
      <c r="S8" s="267" t="str">
        <f>C22</f>
        <v>-</v>
      </c>
      <c r="T8" s="267" t="str">
        <f>C23</f>
        <v>-</v>
      </c>
      <c r="U8" s="267" t="s">
        <v>46</v>
      </c>
    </row>
    <row r="9" spans="1:21" ht="20.100000000000001" customHeight="1">
      <c r="A9" s="79"/>
      <c r="C9" s="16"/>
      <c r="D9" s="81"/>
      <c r="E9" s="82"/>
      <c r="F9" s="329" t="str">
        <f>IF(E10=1,C8,IF(E10=2,C11," "))</f>
        <v>PAWŁOWSKI Stanisław</v>
      </c>
      <c r="G9" s="329"/>
      <c r="P9" s="367">
        <v>104</v>
      </c>
      <c r="Q9" s="267" t="str">
        <f>C25</f>
        <v>-</v>
      </c>
      <c r="R9" s="267" t="str">
        <f>C26</f>
        <v>-</v>
      </c>
      <c r="S9" s="267" t="str">
        <f>C28</f>
        <v>GRZESIK Izabela</v>
      </c>
      <c r="T9" s="267" t="str">
        <f>C29</f>
        <v>KRYCZEK Adam</v>
      </c>
      <c r="U9" s="267" t="s">
        <v>46</v>
      </c>
    </row>
    <row r="10" spans="1:21" ht="20.100000000000001" customHeight="1">
      <c r="A10" s="342" t="s">
        <v>62</v>
      </c>
      <c r="B10" s="83"/>
      <c r="C10" s="343" t="str">
        <f>VLOOKUP("32.",lista!B8:O39,3,FALSE)</f>
        <v>-</v>
      </c>
      <c r="D10" s="344"/>
      <c r="E10" s="84">
        <v>1</v>
      </c>
      <c r="F10" s="209"/>
      <c r="G10" s="86"/>
      <c r="P10" s="367">
        <v>105</v>
      </c>
      <c r="Q10" s="267" t="str">
        <f>C31</f>
        <v>WITASIK Jolanta</v>
      </c>
      <c r="R10" s="267" t="str">
        <f>C32</f>
        <v>KOSTRZEWSKI Krzysztof</v>
      </c>
      <c r="S10" s="267" t="str">
        <f>C34</f>
        <v>-</v>
      </c>
      <c r="T10" s="267" t="str">
        <f>C35</f>
        <v>-</v>
      </c>
      <c r="U10" s="267" t="s">
        <v>46</v>
      </c>
    </row>
    <row r="11" spans="1:21" ht="20.100000000000001" customHeight="1">
      <c r="A11" s="342"/>
      <c r="B11" s="83"/>
      <c r="C11" s="343" t="str">
        <f>VLOOKUP("32.",lista!B8:O39,9,FALSE)</f>
        <v>-</v>
      </c>
      <c r="D11" s="344"/>
      <c r="F11" s="87"/>
      <c r="G11" s="88"/>
      <c r="H11" s="89"/>
      <c r="I11" s="90"/>
      <c r="J11" s="72"/>
      <c r="P11" s="367">
        <v>106</v>
      </c>
      <c r="Q11" s="267" t="str">
        <f>C37</f>
        <v>-</v>
      </c>
      <c r="R11" s="267" t="str">
        <f>C38</f>
        <v>-</v>
      </c>
      <c r="S11" s="267" t="str">
        <f>C40</f>
        <v>GRAŚ Anna</v>
      </c>
      <c r="T11" s="267" t="str">
        <f>C41</f>
        <v>RATAJCZAK Janusz</v>
      </c>
      <c r="U11" s="267" t="s">
        <v>46</v>
      </c>
    </row>
    <row r="12" spans="1:21" ht="20.100000000000001" customHeight="1">
      <c r="A12" s="79"/>
      <c r="B12" s="91"/>
      <c r="C12" s="92"/>
      <c r="D12" s="93"/>
      <c r="F12" s="16">
        <v>9</v>
      </c>
      <c r="G12" s="94"/>
      <c r="H12" s="78"/>
      <c r="I12" s="331" t="str">
        <f>IF(H14=1,F8,IF(H14=2,F14," "))</f>
        <v>KASPRZAK Natalia</v>
      </c>
      <c r="J12" s="331"/>
      <c r="P12" s="367">
        <v>107</v>
      </c>
      <c r="Q12" s="267" t="str">
        <f>C43</f>
        <v>TĄDEL Katarzyna</v>
      </c>
      <c r="R12" s="267" t="str">
        <f>C44</f>
        <v>PODSIADŁO ZBIGNIEW</v>
      </c>
      <c r="S12" s="267" t="str">
        <f>C46</f>
        <v>-</v>
      </c>
      <c r="T12" s="267" t="str">
        <f>C47</f>
        <v>-</v>
      </c>
      <c r="U12" s="267" t="s">
        <v>46</v>
      </c>
    </row>
    <row r="13" spans="1:21" ht="20.100000000000001" customHeight="1">
      <c r="A13" s="342" t="s">
        <v>63</v>
      </c>
      <c r="B13" s="83"/>
      <c r="C13" s="340" t="str">
        <f>VLOOKUP("17.",lista!B8:O39,3,FALSE)</f>
        <v>URBAŃCZYK Mariola</v>
      </c>
      <c r="D13" s="341"/>
      <c r="E13" s="95"/>
      <c r="F13" s="87"/>
      <c r="G13" s="88"/>
      <c r="H13" s="82"/>
      <c r="I13" s="329" t="str">
        <f>IF(H14=1,F9,IF(H14=2,F15," "))</f>
        <v>PAWŁOWSKI Stanisław</v>
      </c>
      <c r="J13" s="329"/>
      <c r="L13" s="87"/>
      <c r="M13" s="96"/>
      <c r="P13" s="367">
        <v>108</v>
      </c>
      <c r="Q13" s="267" t="str">
        <f>C49</f>
        <v>-</v>
      </c>
      <c r="R13" s="267" t="str">
        <f>C50</f>
        <v>-</v>
      </c>
      <c r="S13" s="267" t="str">
        <f>C52</f>
        <v>CZARNECKA Jolanta</v>
      </c>
      <c r="T13" s="267" t="str">
        <f>C53</f>
        <v>AMPUŁA Andrzej</v>
      </c>
      <c r="U13" s="267" t="s">
        <v>46</v>
      </c>
    </row>
    <row r="14" spans="1:21" ht="20.100000000000001" customHeight="1">
      <c r="A14" s="342"/>
      <c r="B14" s="97"/>
      <c r="C14" s="264" t="str">
        <f>VLOOKUP("17.",lista!B8:O39,9,FALSE)</f>
        <v>URBAŃCZYK Piotr</v>
      </c>
      <c r="D14" s="264"/>
      <c r="E14" s="78"/>
      <c r="F14" s="331" t="str">
        <f>IF(E16=1,C13,IF(E16=2,C16," "))</f>
        <v>URBAŃCZYK Mariola</v>
      </c>
      <c r="G14" s="333"/>
      <c r="H14" s="84">
        <v>1</v>
      </c>
      <c r="I14" s="209"/>
      <c r="J14" s="86"/>
      <c r="L14" s="87"/>
      <c r="M14" s="96"/>
      <c r="P14" s="74"/>
      <c r="Q14" s="74"/>
      <c r="R14" s="74"/>
      <c r="S14" s="74"/>
      <c r="T14" s="74"/>
      <c r="U14" s="74"/>
    </row>
    <row r="15" spans="1:21" ht="20.100000000000001" customHeight="1">
      <c r="A15" s="79"/>
      <c r="C15" s="16">
        <v>9</v>
      </c>
      <c r="D15" s="98"/>
      <c r="E15" s="82"/>
      <c r="F15" s="329" t="str">
        <f>IF(E16=1,C14,IF(E16=2,C17," "))</f>
        <v>URBAŃCZYK Piotr</v>
      </c>
      <c r="G15" s="330"/>
      <c r="H15" s="99"/>
      <c r="I15" s="33"/>
      <c r="J15" s="100"/>
      <c r="K15" s="101"/>
      <c r="L15" s="33"/>
      <c r="M15" s="33"/>
      <c r="P15" s="74"/>
      <c r="Q15" s="74"/>
      <c r="R15" s="74"/>
      <c r="S15" s="74"/>
      <c r="T15" s="74"/>
      <c r="U15" s="74"/>
    </row>
    <row r="16" spans="1:21" ht="20.100000000000001" customHeight="1">
      <c r="A16" s="342" t="s">
        <v>64</v>
      </c>
      <c r="B16" s="102"/>
      <c r="C16" s="264" t="str">
        <f>VLOOKUP("16.",lista!B8:O39,3,FALSE)</f>
        <v>DUDZIAK Anna</v>
      </c>
      <c r="D16" s="266"/>
      <c r="E16" s="84">
        <v>1</v>
      </c>
      <c r="F16" s="209"/>
      <c r="G16" s="85"/>
      <c r="H16" s="99"/>
      <c r="I16" s="33"/>
      <c r="J16" s="100"/>
      <c r="K16" s="101"/>
      <c r="L16" s="33"/>
      <c r="M16" s="33"/>
      <c r="P16" s="74"/>
      <c r="Q16" s="74"/>
      <c r="R16" s="74"/>
      <c r="S16" s="74"/>
      <c r="T16" s="74"/>
      <c r="U16" s="74"/>
    </row>
    <row r="17" spans="1:22" ht="20.100000000000001" customHeight="1">
      <c r="A17" s="342"/>
      <c r="B17" s="103"/>
      <c r="C17" s="337" t="str">
        <f>VLOOKUP("16.",lista!B8:O39,9,FALSE)</f>
        <v>GŁADYSZ Janusz</v>
      </c>
      <c r="D17" s="338"/>
      <c r="E17" s="89"/>
      <c r="F17" s="71"/>
      <c r="G17" s="72"/>
      <c r="H17" s="89"/>
      <c r="I17" s="71"/>
      <c r="J17" s="104"/>
      <c r="K17" s="107"/>
      <c r="L17" s="193"/>
      <c r="M17" s="109"/>
      <c r="P17" s="74"/>
      <c r="Q17" s="74"/>
      <c r="R17" s="74"/>
      <c r="S17" s="74"/>
      <c r="T17" s="74"/>
      <c r="U17" s="74"/>
    </row>
    <row r="18" spans="1:22" ht="20.100000000000001" customHeight="1">
      <c r="A18" s="79"/>
      <c r="B18" s="91"/>
      <c r="C18" s="92"/>
      <c r="D18" s="93"/>
      <c r="E18" s="95"/>
      <c r="F18" s="87"/>
      <c r="G18" s="105"/>
      <c r="J18" s="194"/>
      <c r="K18" s="78"/>
      <c r="L18" s="331" t="str">
        <f>IF(K20=1,I12,IF(K20=2,I24," "))</f>
        <v>KASPRZAK Natalia</v>
      </c>
      <c r="M18" s="331"/>
      <c r="P18" s="74"/>
      <c r="Q18" s="74"/>
      <c r="R18" s="74"/>
      <c r="S18" s="74"/>
      <c r="T18" s="74"/>
      <c r="U18" s="74"/>
    </row>
    <row r="19" spans="1:22" ht="20.100000000000001" customHeight="1">
      <c r="A19" s="342" t="s">
        <v>65</v>
      </c>
      <c r="B19" s="69"/>
      <c r="C19" s="343" t="str">
        <f>VLOOKUP("9.",lista!B8:O39,3,FALSE)</f>
        <v>CIEŚLIK Małgorzata</v>
      </c>
      <c r="D19" s="344"/>
      <c r="E19" s="70"/>
      <c r="F19" s="71"/>
      <c r="G19" s="72"/>
      <c r="H19" s="89"/>
      <c r="I19" s="16">
        <v>9</v>
      </c>
      <c r="J19" s="104"/>
      <c r="K19" s="82"/>
      <c r="L19" s="329" t="str">
        <f>IF(K20=1,I13,IF(K20=2,I25," "))</f>
        <v>PAWŁOWSKI Stanisław</v>
      </c>
      <c r="M19" s="329"/>
      <c r="P19" s="74"/>
      <c r="Q19" s="74"/>
      <c r="R19" s="74"/>
      <c r="S19" s="74"/>
      <c r="T19" s="74"/>
      <c r="U19" s="74"/>
    </row>
    <row r="20" spans="1:22" ht="20.100000000000001" customHeight="1">
      <c r="A20" s="342"/>
      <c r="B20" s="110"/>
      <c r="C20" s="264" t="str">
        <f>VLOOKUP("9.",lista!B8:O39,9,FALSE)</f>
        <v>PAŁĘGA Józef</v>
      </c>
      <c r="D20" s="111"/>
      <c r="E20" s="78"/>
      <c r="F20" s="331" t="str">
        <f>IF(E22=1,C19,IF(E22=2,C22," "))</f>
        <v>CIEŚLIK Małgorzata</v>
      </c>
      <c r="G20" s="331"/>
      <c r="H20" s="89"/>
      <c r="I20" s="71"/>
      <c r="J20" s="104"/>
      <c r="K20" s="84">
        <v>1</v>
      </c>
      <c r="L20" s="210"/>
      <c r="M20" s="86"/>
      <c r="N20" s="208"/>
      <c r="P20" s="74"/>
      <c r="Q20" s="74"/>
      <c r="R20" s="74"/>
      <c r="S20" s="74"/>
      <c r="T20" s="74"/>
      <c r="U20" s="74"/>
    </row>
    <row r="21" spans="1:22" ht="20.100000000000001" customHeight="1">
      <c r="A21" s="79"/>
      <c r="C21" s="16"/>
      <c r="D21" s="112"/>
      <c r="E21" s="82"/>
      <c r="F21" s="329" t="str">
        <f>IF(E22=1,C20,IF(E22=2,C23," "))</f>
        <v>PAŁĘGA Józef</v>
      </c>
      <c r="G21" s="329"/>
      <c r="H21" s="99"/>
      <c r="I21" s="33"/>
      <c r="J21" s="100"/>
      <c r="K21" s="101"/>
      <c r="L21" s="33"/>
      <c r="M21" s="113"/>
      <c r="N21" s="208"/>
      <c r="P21" s="74"/>
      <c r="Q21" s="74"/>
      <c r="R21" s="74"/>
      <c r="S21" s="74"/>
      <c r="T21" s="74"/>
      <c r="U21" s="74"/>
    </row>
    <row r="22" spans="1:22" ht="20.100000000000001" customHeight="1">
      <c r="A22" s="342" t="s">
        <v>66</v>
      </c>
      <c r="B22" s="102"/>
      <c r="C22" s="264" t="str">
        <f>VLOOKUP("24.",lista!B8:O39,3,FALSE)</f>
        <v>-</v>
      </c>
      <c r="D22" s="266"/>
      <c r="E22" s="84">
        <v>1</v>
      </c>
      <c r="F22" s="209"/>
      <c r="G22" s="86"/>
      <c r="K22" s="114"/>
      <c r="L22" s="33"/>
      <c r="M22" s="113"/>
      <c r="N22" s="208"/>
      <c r="P22" s="126"/>
      <c r="Q22" s="127"/>
      <c r="R22" s="127"/>
      <c r="S22" s="127"/>
      <c r="T22" s="127"/>
      <c r="U22" s="127"/>
    </row>
    <row r="23" spans="1:22" ht="20.100000000000001" customHeight="1">
      <c r="A23" s="342"/>
      <c r="B23" s="103"/>
      <c r="C23" s="337" t="str">
        <f>VLOOKUP("24.",lista!B8:O39,9,FALSE)</f>
        <v>-</v>
      </c>
      <c r="D23" s="338"/>
      <c r="F23" s="87"/>
      <c r="G23" s="88"/>
      <c r="H23" s="89"/>
      <c r="I23" s="90"/>
      <c r="J23" s="72"/>
      <c r="K23" s="115"/>
      <c r="L23" s="87"/>
      <c r="M23" s="116"/>
      <c r="N23" s="208"/>
      <c r="P23" s="126"/>
      <c r="Q23" s="127"/>
      <c r="R23" s="127"/>
      <c r="S23" s="127"/>
      <c r="T23" s="127"/>
      <c r="U23" s="127"/>
    </row>
    <row r="24" spans="1:22" ht="20.100000000000001" customHeight="1">
      <c r="A24" s="79"/>
      <c r="B24" s="117"/>
      <c r="C24" s="118"/>
      <c r="D24" s="119"/>
      <c r="F24" s="16">
        <v>8</v>
      </c>
      <c r="G24" s="94"/>
      <c r="H24" s="78"/>
      <c r="I24" s="331" t="str">
        <f>IF(H26=1,F20,IF(H26=2,F26," "))</f>
        <v>CIEŚLIK Małgorzata</v>
      </c>
      <c r="J24" s="331"/>
      <c r="K24" s="114"/>
      <c r="L24" s="33"/>
      <c r="M24" s="113"/>
      <c r="N24" s="208"/>
      <c r="P24" s="126"/>
      <c r="Q24" s="127"/>
      <c r="R24" s="127"/>
      <c r="S24" s="127"/>
      <c r="T24" s="127"/>
      <c r="U24" s="127"/>
    </row>
    <row r="25" spans="1:22" ht="20.100000000000001" customHeight="1">
      <c r="A25" s="342" t="s">
        <v>67</v>
      </c>
      <c r="B25" s="83"/>
      <c r="C25" s="343" t="str">
        <f>VLOOKUP("25.",lista!B8:O39,3,FALSE)</f>
        <v>-</v>
      </c>
      <c r="D25" s="344"/>
      <c r="E25" s="95"/>
      <c r="F25" s="87"/>
      <c r="G25" s="88"/>
      <c r="H25" s="82"/>
      <c r="I25" s="329" t="str">
        <f>IF(H26=1,F21,IF(H26=2,F27," "))</f>
        <v>PAŁĘGA Józef</v>
      </c>
      <c r="J25" s="329"/>
      <c r="K25" s="120"/>
      <c r="L25" s="71"/>
      <c r="M25" s="108"/>
      <c r="N25" s="208"/>
      <c r="P25" s="66" t="s">
        <v>60</v>
      </c>
      <c r="Q25" s="66" t="s">
        <v>104</v>
      </c>
      <c r="R25" s="66" t="s">
        <v>105</v>
      </c>
      <c r="S25" s="66" t="s">
        <v>106</v>
      </c>
      <c r="T25" s="66" t="s">
        <v>107</v>
      </c>
      <c r="U25" s="66" t="s">
        <v>61</v>
      </c>
    </row>
    <row r="26" spans="1:22" ht="20.100000000000001" customHeight="1">
      <c r="A26" s="342"/>
      <c r="B26" s="97"/>
      <c r="C26" s="264" t="str">
        <f>VLOOKUP("25.",lista!B8:O39,9,FALSE)</f>
        <v>-</v>
      </c>
      <c r="D26" s="265"/>
      <c r="E26" s="78"/>
      <c r="F26" s="331" t="str">
        <f>IF(E28=1,C25,IF(E28=2,C28," "))</f>
        <v>GRZESIK Izabela</v>
      </c>
      <c r="G26" s="333"/>
      <c r="H26" s="84">
        <v>1</v>
      </c>
      <c r="I26" s="209"/>
      <c r="J26" s="121"/>
      <c r="K26" s="107"/>
      <c r="L26" s="71"/>
      <c r="M26" s="108"/>
      <c r="N26" s="208"/>
      <c r="P26" s="367">
        <v>120</v>
      </c>
      <c r="Q26" s="267" t="str">
        <f>F8</f>
        <v>KASPRZAK Natalia</v>
      </c>
      <c r="R26" s="267" t="str">
        <f>F9</f>
        <v>PAWŁOWSKI Stanisław</v>
      </c>
      <c r="S26" s="267" t="str">
        <f>F14</f>
        <v>URBAŃCZYK Mariola</v>
      </c>
      <c r="T26" s="267" t="str">
        <f>F15</f>
        <v>URBAŃCZYK Piotr</v>
      </c>
      <c r="U26" s="267" t="s">
        <v>46</v>
      </c>
    </row>
    <row r="27" spans="1:22" ht="20.100000000000001" customHeight="1">
      <c r="A27" s="79"/>
      <c r="C27" s="16"/>
      <c r="D27" s="112"/>
      <c r="E27" s="82"/>
      <c r="F27" s="329" t="str">
        <f>IF(E28=1,C26,IF(E28=2,C29," "))</f>
        <v>KRYCZEK Adam</v>
      </c>
      <c r="G27" s="330"/>
      <c r="H27" s="99"/>
      <c r="I27" s="33"/>
      <c r="J27" s="122"/>
      <c r="K27" s="101"/>
      <c r="L27" s="16">
        <v>9</v>
      </c>
      <c r="M27" s="113"/>
      <c r="N27" s="208"/>
      <c r="P27" s="367">
        <v>121</v>
      </c>
      <c r="Q27" s="267" t="str">
        <f>F20</f>
        <v>CIEŚLIK Małgorzata</v>
      </c>
      <c r="R27" s="267" t="str">
        <f>F21</f>
        <v>PAŁĘGA Józef</v>
      </c>
      <c r="S27" s="267" t="str">
        <f>F26</f>
        <v>GRZESIK Izabela</v>
      </c>
      <c r="T27" s="267" t="str">
        <f>F27</f>
        <v>KRYCZEK Adam</v>
      </c>
      <c r="U27" s="267" t="s">
        <v>46</v>
      </c>
    </row>
    <row r="28" spans="1:22" ht="20.100000000000001" customHeight="1">
      <c r="A28" s="342" t="s">
        <v>68</v>
      </c>
      <c r="B28" s="102"/>
      <c r="C28" s="264" t="str">
        <f>VLOOKUP("8.",lista!B8:O39,3,FALSE)</f>
        <v>GRZESIK Izabela</v>
      </c>
      <c r="D28" s="266"/>
      <c r="E28" s="84">
        <v>2</v>
      </c>
      <c r="F28" s="209"/>
      <c r="G28" s="85"/>
      <c r="H28" s="99"/>
      <c r="I28" s="33"/>
      <c r="J28" s="122"/>
      <c r="K28" s="101"/>
      <c r="L28" s="33"/>
      <c r="M28" s="113"/>
      <c r="N28" s="208"/>
      <c r="P28" s="367">
        <v>122</v>
      </c>
      <c r="Q28" s="267" t="str">
        <f>F32</f>
        <v>WITASIK Jolanta</v>
      </c>
      <c r="R28" s="267" t="str">
        <f>F33</f>
        <v>KOSTRZEWSKI Krzysztof</v>
      </c>
      <c r="S28" s="267" t="str">
        <f>F38</f>
        <v>GRAŚ Anna</v>
      </c>
      <c r="T28" s="267" t="str">
        <f>F39</f>
        <v>RATAJCZAK Janusz</v>
      </c>
      <c r="U28" s="267" t="s">
        <v>46</v>
      </c>
    </row>
    <row r="29" spans="1:22" ht="20.100000000000001" customHeight="1">
      <c r="A29" s="342"/>
      <c r="B29" s="103"/>
      <c r="C29" s="337" t="str">
        <f>VLOOKUP("8.",lista!B8:O39,9,FALSE)</f>
        <v>KRYCZEK Adam</v>
      </c>
      <c r="D29" s="338"/>
      <c r="E29" s="89"/>
      <c r="F29" s="71"/>
      <c r="G29" s="72"/>
      <c r="H29" s="89"/>
      <c r="I29" s="71"/>
      <c r="J29" s="332" t="s">
        <v>38</v>
      </c>
      <c r="K29" s="202"/>
      <c r="L29" s="331" t="str">
        <f>IF(K31=1,L18,IF(K31=2,L42," "))</f>
        <v>KASPRZAK Natalia</v>
      </c>
      <c r="M29" s="333"/>
      <c r="N29" s="208"/>
      <c r="P29" s="367">
        <v>123</v>
      </c>
      <c r="Q29" s="267" t="str">
        <f>F44</f>
        <v>TĄDEL Katarzyna</v>
      </c>
      <c r="R29" s="267" t="str">
        <f>F45</f>
        <v>PODSIADŁO ZBIGNIEW</v>
      </c>
      <c r="S29" s="267" t="str">
        <f>F50</f>
        <v>CZARNECKA Jolanta</v>
      </c>
      <c r="T29" s="267" t="str">
        <f>F51</f>
        <v>AMPUŁA Andrzej</v>
      </c>
      <c r="U29" s="267" t="s">
        <v>46</v>
      </c>
    </row>
    <row r="30" spans="1:22" ht="20.100000000000001" customHeight="1">
      <c r="A30" s="79"/>
      <c r="B30" s="91"/>
      <c r="I30" s="124"/>
      <c r="J30" s="332"/>
      <c r="K30" s="203"/>
      <c r="L30" s="329" t="str">
        <f>IF(K31=1,L19,IF(K31=2,L43," "))</f>
        <v>PAWŁOWSKI Stanisław</v>
      </c>
      <c r="M30" s="330"/>
      <c r="N30" s="208"/>
      <c r="P30" s="126"/>
      <c r="Q30" s="127"/>
      <c r="R30" s="127"/>
      <c r="S30" s="127"/>
      <c r="T30" s="127"/>
      <c r="U30" s="127"/>
      <c r="V30" s="130"/>
    </row>
    <row r="31" spans="1:22" ht="20.100000000000001" customHeight="1">
      <c r="A31" s="342" t="s">
        <v>69</v>
      </c>
      <c r="B31" s="69"/>
      <c r="C31" s="340" t="str">
        <f>VLOOKUP("5.",lista!B8:O39,3,FALSE)</f>
        <v>WITASIK Jolanta</v>
      </c>
      <c r="D31" s="341"/>
      <c r="E31" s="70"/>
      <c r="F31" s="71"/>
      <c r="G31" s="72"/>
      <c r="K31" s="211">
        <v>1</v>
      </c>
      <c r="L31" s="210"/>
      <c r="M31" s="86"/>
      <c r="N31" s="208"/>
      <c r="P31" s="126"/>
      <c r="Q31" s="127"/>
      <c r="R31" s="127"/>
      <c r="S31" s="127"/>
      <c r="T31" s="127"/>
      <c r="U31" s="127"/>
      <c r="V31" s="130"/>
    </row>
    <row r="32" spans="1:22" ht="20.100000000000001" customHeight="1">
      <c r="A32" s="342"/>
      <c r="B32" s="110"/>
      <c r="C32" s="264" t="str">
        <f>VLOOKUP("5.",lista!B8:O39,9,FALSE)</f>
        <v>KOSTRZEWSKI Krzysztof</v>
      </c>
      <c r="D32" s="111"/>
      <c r="E32" s="78"/>
      <c r="F32" s="331" t="str">
        <f>IF(E34=1,C31,IF(E34=2,C34," "))</f>
        <v>WITASIK Jolanta</v>
      </c>
      <c r="G32" s="331"/>
      <c r="L32" s="107"/>
      <c r="M32" s="195"/>
      <c r="N32" s="208"/>
      <c r="P32" s="126"/>
      <c r="Q32" s="127"/>
      <c r="R32" s="127"/>
      <c r="S32" s="127"/>
      <c r="T32" s="127"/>
      <c r="U32" s="127"/>
      <c r="V32" s="130"/>
    </row>
    <row r="33" spans="1:22" ht="20.100000000000001" customHeight="1">
      <c r="A33" s="79"/>
      <c r="C33" s="16"/>
      <c r="D33" s="112"/>
      <c r="E33" s="82"/>
      <c r="F33" s="329" t="str">
        <f>IF(E34=1,C32,IF(E34=2,C35," "))</f>
        <v>KOSTRZEWSKI Krzysztof</v>
      </c>
      <c r="G33" s="329"/>
      <c r="L33" s="87"/>
      <c r="M33" s="116"/>
      <c r="N33" s="208"/>
      <c r="P33" s="66" t="s">
        <v>60</v>
      </c>
      <c r="Q33" s="66" t="s">
        <v>104</v>
      </c>
      <c r="R33" s="66" t="s">
        <v>105</v>
      </c>
      <c r="S33" s="66" t="s">
        <v>106</v>
      </c>
      <c r="T33" s="66" t="s">
        <v>107</v>
      </c>
      <c r="U33" s="66" t="s">
        <v>61</v>
      </c>
      <c r="V33" s="130"/>
    </row>
    <row r="34" spans="1:22" ht="20.100000000000001" customHeight="1">
      <c r="A34" s="342" t="s">
        <v>70</v>
      </c>
      <c r="B34" s="102"/>
      <c r="C34" s="264" t="str">
        <f>VLOOKUP("28.",lista!B8:O39,3,FALSE)</f>
        <v>-</v>
      </c>
      <c r="D34" s="266"/>
      <c r="E34" s="84">
        <v>1</v>
      </c>
      <c r="F34" s="209"/>
      <c r="G34" s="86"/>
      <c r="L34" s="87"/>
      <c r="M34" s="116"/>
      <c r="N34" s="208"/>
      <c r="P34" s="367">
        <v>130</v>
      </c>
      <c r="Q34" s="267" t="str">
        <f>I12</f>
        <v>KASPRZAK Natalia</v>
      </c>
      <c r="R34" s="267" t="str">
        <f>I13</f>
        <v>PAWŁOWSKI Stanisław</v>
      </c>
      <c r="S34" s="267" t="str">
        <f>I24</f>
        <v>CIEŚLIK Małgorzata</v>
      </c>
      <c r="T34" s="267" t="str">
        <f>I25</f>
        <v>PAŁĘGA Józef</v>
      </c>
      <c r="U34" s="267" t="s">
        <v>46</v>
      </c>
      <c r="V34" s="130"/>
    </row>
    <row r="35" spans="1:22" ht="20.100000000000001" customHeight="1">
      <c r="A35" s="342"/>
      <c r="B35" s="103"/>
      <c r="C35" s="337" t="str">
        <f>VLOOKUP("28.",lista!B8:O39,9,FALSE)</f>
        <v>-</v>
      </c>
      <c r="D35" s="338"/>
      <c r="F35" s="87"/>
      <c r="G35" s="88"/>
      <c r="H35" s="89"/>
      <c r="I35" s="90"/>
      <c r="J35" s="72"/>
      <c r="L35" s="87"/>
      <c r="M35" s="116"/>
      <c r="N35" s="208"/>
      <c r="P35" s="367">
        <v>131</v>
      </c>
      <c r="Q35" s="267" t="str">
        <f>I36</f>
        <v>GRAŚ Anna</v>
      </c>
      <c r="R35" s="267" t="str">
        <f>I37</f>
        <v>RATAJCZAK Janusz</v>
      </c>
      <c r="S35" s="267" t="str">
        <f>I48</f>
        <v>TĄDEL Katarzyna</v>
      </c>
      <c r="T35" s="267" t="str">
        <f>I49</f>
        <v>PODSIADŁO ZBIGNIEW</v>
      </c>
      <c r="U35" s="267" t="s">
        <v>46</v>
      </c>
      <c r="V35" s="130"/>
    </row>
    <row r="36" spans="1:22" ht="20.100000000000001" customHeight="1">
      <c r="A36" s="79"/>
      <c r="B36" s="91"/>
      <c r="C36" s="92"/>
      <c r="D36" s="93"/>
      <c r="E36" s="95"/>
      <c r="F36" s="16">
        <v>7</v>
      </c>
      <c r="G36" s="94"/>
      <c r="H36" s="78"/>
      <c r="I36" s="331" t="str">
        <f>IF(H38=1,F32,IF(H38=2,F38," "))</f>
        <v>GRAŚ Anna</v>
      </c>
      <c r="J36" s="331"/>
      <c r="L36" s="87"/>
      <c r="M36" s="116"/>
      <c r="N36" s="208"/>
      <c r="P36" s="126"/>
      <c r="Q36" s="127"/>
      <c r="R36" s="127"/>
      <c r="S36" s="127"/>
      <c r="T36" s="127"/>
      <c r="U36" s="127"/>
      <c r="V36" s="130"/>
    </row>
    <row r="37" spans="1:22" ht="20.100000000000001" customHeight="1">
      <c r="A37" s="342" t="s">
        <v>71</v>
      </c>
      <c r="B37" s="83"/>
      <c r="C37" s="340" t="str">
        <f>VLOOKUP("21.",lista!B8:O39,3,FALSE)</f>
        <v>-</v>
      </c>
      <c r="D37" s="341"/>
      <c r="E37" s="95"/>
      <c r="F37" s="87"/>
      <c r="G37" s="88"/>
      <c r="H37" s="82"/>
      <c r="I37" s="329" t="str">
        <f>IF(H38=1,F33,IF(H38=2,F39," "))</f>
        <v>RATAJCZAK Janusz</v>
      </c>
      <c r="J37" s="329"/>
      <c r="L37" s="87"/>
      <c r="M37" s="116"/>
      <c r="N37" s="208"/>
      <c r="P37" s="126"/>
      <c r="Q37" s="127"/>
      <c r="R37" s="127"/>
      <c r="S37" s="127"/>
      <c r="T37" s="127"/>
      <c r="U37" s="127"/>
      <c r="V37" s="130"/>
    </row>
    <row r="38" spans="1:22" ht="20.100000000000001" customHeight="1">
      <c r="A38" s="342"/>
      <c r="B38" s="97"/>
      <c r="C38" s="264" t="str">
        <f>VLOOKUP("21.",lista!B8:O39,9,FALSE)</f>
        <v>-</v>
      </c>
      <c r="D38" s="265"/>
      <c r="E38" s="78"/>
      <c r="F38" s="331" t="str">
        <f>IF(E40=1,C37,IF(E40=2,C40," "))</f>
        <v>GRAŚ Anna</v>
      </c>
      <c r="G38" s="333"/>
      <c r="H38" s="84">
        <v>2</v>
      </c>
      <c r="I38" s="209"/>
      <c r="J38" s="86"/>
      <c r="L38" s="87"/>
      <c r="M38" s="116"/>
      <c r="N38" s="208"/>
      <c r="P38" s="191"/>
      <c r="Q38" s="191"/>
      <c r="R38" s="191"/>
      <c r="S38" s="191"/>
      <c r="T38" s="191"/>
      <c r="U38" s="191"/>
      <c r="V38" s="130"/>
    </row>
    <row r="39" spans="1:22" ht="20.100000000000001" customHeight="1">
      <c r="A39" s="79"/>
      <c r="C39" s="16"/>
      <c r="D39" s="112"/>
      <c r="E39" s="82"/>
      <c r="F39" s="329" t="str">
        <f>IF(E40=1,C38,IF(E40=2,C41," "))</f>
        <v>RATAJCZAK Janusz</v>
      </c>
      <c r="G39" s="330"/>
      <c r="H39" s="99"/>
      <c r="I39" s="33"/>
      <c r="J39" s="100"/>
      <c r="K39" s="101"/>
      <c r="L39" s="33"/>
      <c r="M39" s="113"/>
      <c r="N39" s="208"/>
      <c r="P39" s="66" t="s">
        <v>60</v>
      </c>
      <c r="Q39" s="66" t="s">
        <v>104</v>
      </c>
      <c r="R39" s="66" t="s">
        <v>105</v>
      </c>
      <c r="S39" s="66" t="s">
        <v>106</v>
      </c>
      <c r="T39" s="66" t="s">
        <v>107</v>
      </c>
      <c r="U39" s="66" t="s">
        <v>61</v>
      </c>
    </row>
    <row r="40" spans="1:22" ht="20.100000000000001" customHeight="1">
      <c r="A40" s="342" t="s">
        <v>72</v>
      </c>
      <c r="B40" s="102"/>
      <c r="C40" s="264" t="str">
        <f>VLOOKUP("12.",lista!B8:O39,3,FALSE)</f>
        <v>GRAŚ Anna</v>
      </c>
      <c r="D40" s="266"/>
      <c r="E40" s="84">
        <v>2</v>
      </c>
      <c r="F40" s="209"/>
      <c r="G40" s="85"/>
      <c r="H40" s="99"/>
      <c r="I40" s="33"/>
      <c r="J40" s="100"/>
      <c r="K40" s="101"/>
      <c r="L40" s="33"/>
      <c r="M40" s="113"/>
      <c r="N40" s="208"/>
      <c r="P40" s="367">
        <v>140</v>
      </c>
      <c r="Q40" s="267" t="str">
        <f>L18</f>
        <v>KASPRZAK Natalia</v>
      </c>
      <c r="R40" s="267" t="str">
        <f>L19</f>
        <v>PAWŁOWSKI Stanisław</v>
      </c>
      <c r="S40" s="267" t="str">
        <f>L42</f>
        <v>TĄDEL Katarzyna</v>
      </c>
      <c r="T40" s="267" t="str">
        <f>L43</f>
        <v>PODSIADŁO ZBIGNIEW</v>
      </c>
      <c r="U40" s="267" t="s">
        <v>46</v>
      </c>
    </row>
    <row r="41" spans="1:22" ht="20.100000000000001" customHeight="1">
      <c r="A41" s="342"/>
      <c r="B41" s="103"/>
      <c r="C41" s="337" t="str">
        <f>VLOOKUP("12.",lista!B8:O39,9,FALSE)</f>
        <v>RATAJCZAK Janusz</v>
      </c>
      <c r="D41" s="338"/>
      <c r="E41" s="89"/>
      <c r="F41" s="71"/>
      <c r="G41" s="72"/>
      <c r="H41" s="89"/>
      <c r="I41" s="71"/>
      <c r="J41" s="104"/>
      <c r="K41" s="107"/>
      <c r="L41" s="193"/>
      <c r="M41" s="108"/>
      <c r="N41" s="208"/>
    </row>
    <row r="42" spans="1:22" ht="20.100000000000001" customHeight="1">
      <c r="A42" s="79"/>
      <c r="B42" s="91"/>
      <c r="E42" s="95"/>
      <c r="F42" s="87"/>
      <c r="G42" s="105"/>
      <c r="J42" s="106"/>
      <c r="K42" s="78"/>
      <c r="L42" s="331" t="str">
        <f>IF(K44=1,I36,IF(K44=2,I48," "))</f>
        <v>TĄDEL Katarzyna</v>
      </c>
      <c r="M42" s="333"/>
      <c r="N42" s="208"/>
    </row>
    <row r="43" spans="1:22" ht="20.100000000000001" customHeight="1">
      <c r="A43" s="342" t="s">
        <v>73</v>
      </c>
      <c r="B43" s="83"/>
      <c r="C43" s="340" t="str">
        <f>VLOOKUP("13.",lista!B8:O39,3,FALSE)</f>
        <v>TĄDEL Katarzyna</v>
      </c>
      <c r="D43" s="341"/>
      <c r="E43" s="70"/>
      <c r="F43" s="71"/>
      <c r="G43" s="72"/>
      <c r="H43" s="89"/>
      <c r="I43" s="16">
        <v>13</v>
      </c>
      <c r="J43" s="104"/>
      <c r="K43" s="82"/>
      <c r="L43" s="329" t="str">
        <f>IF(K44=1,I37,IF(K44=2,I49," "))</f>
        <v>PODSIADŁO ZBIGNIEW</v>
      </c>
      <c r="M43" s="330"/>
      <c r="N43" s="208"/>
    </row>
    <row r="44" spans="1:22" ht="20.100000000000001" customHeight="1">
      <c r="A44" s="342"/>
      <c r="B44" s="97"/>
      <c r="C44" s="264" t="str">
        <f>VLOOKUP("13.",lista!B8:O39,9,FALSE)</f>
        <v>PODSIADŁO ZBIGNIEW</v>
      </c>
      <c r="D44" s="265"/>
      <c r="E44" s="78"/>
      <c r="F44" s="331" t="str">
        <f>IF(E46=1,C43,IF(E46=2,C46," "))</f>
        <v>TĄDEL Katarzyna</v>
      </c>
      <c r="G44" s="331"/>
      <c r="H44" s="89"/>
      <c r="I44" s="71"/>
      <c r="J44" s="104"/>
      <c r="K44" s="84">
        <v>2</v>
      </c>
      <c r="L44" s="209"/>
      <c r="M44" s="201"/>
      <c r="N44" s="87"/>
      <c r="P44" s="66" t="s">
        <v>60</v>
      </c>
      <c r="Q44" s="66" t="s">
        <v>104</v>
      </c>
      <c r="R44" s="66" t="s">
        <v>105</v>
      </c>
      <c r="S44" s="66" t="s">
        <v>106</v>
      </c>
      <c r="T44" s="66" t="s">
        <v>107</v>
      </c>
      <c r="U44" s="66" t="s">
        <v>61</v>
      </c>
    </row>
    <row r="45" spans="1:22" ht="20.100000000000001" customHeight="1">
      <c r="A45" s="79"/>
      <c r="C45" s="16"/>
      <c r="D45" s="112"/>
      <c r="E45" s="82"/>
      <c r="F45" s="329" t="str">
        <f>IF(E46=1,C44,IF(E46=2,C47," "))</f>
        <v>PODSIADŁO ZBIGNIEW</v>
      </c>
      <c r="G45" s="329"/>
      <c r="H45" s="99"/>
      <c r="I45" s="33"/>
      <c r="J45" s="100"/>
      <c r="K45" s="101"/>
      <c r="L45" s="33"/>
      <c r="M45" s="33"/>
      <c r="N45" s="87"/>
      <c r="P45" s="367">
        <v>150</v>
      </c>
      <c r="Q45" s="267" t="str">
        <f>I55</f>
        <v>KASPRZAK Natalia</v>
      </c>
      <c r="R45" s="267" t="str">
        <f>I56</f>
        <v>PAWŁOWSKI Stanisław</v>
      </c>
      <c r="S45" s="267" t="str">
        <f>I58</f>
        <v>BURACZEK Elżbieta</v>
      </c>
      <c r="T45" s="267" t="str">
        <f>I59</f>
        <v>CIOŁEK Zbigniew</v>
      </c>
      <c r="U45" s="267" t="s">
        <v>46</v>
      </c>
    </row>
    <row r="46" spans="1:22" ht="20.100000000000001" customHeight="1">
      <c r="A46" s="342" t="s">
        <v>74</v>
      </c>
      <c r="B46" s="102"/>
      <c r="C46" s="264" t="str">
        <f>VLOOKUP("20.",lista!B8:O39,3,FALSE)</f>
        <v>-</v>
      </c>
      <c r="D46" s="266"/>
      <c r="E46" s="84">
        <v>1</v>
      </c>
      <c r="F46" s="209"/>
      <c r="G46" s="86"/>
      <c r="K46" s="114"/>
      <c r="L46" s="33"/>
      <c r="M46" s="33"/>
      <c r="N46" s="87"/>
    </row>
    <row r="47" spans="1:22" ht="20.100000000000001" customHeight="1">
      <c r="A47" s="342"/>
      <c r="B47" s="103"/>
      <c r="C47" s="337" t="str">
        <f>VLOOKUP("20.",lista!B8:O39,9,FALSE)</f>
        <v>-</v>
      </c>
      <c r="D47" s="338"/>
      <c r="F47" s="87"/>
      <c r="G47" s="88"/>
      <c r="H47" s="89"/>
      <c r="I47" s="90"/>
      <c r="J47" s="72"/>
      <c r="K47" s="115"/>
      <c r="L47" s="87"/>
      <c r="M47" s="96"/>
      <c r="N47" s="87"/>
    </row>
    <row r="48" spans="1:22" ht="20.100000000000001" customHeight="1">
      <c r="A48" s="79"/>
      <c r="B48" s="117"/>
      <c r="C48" s="118"/>
      <c r="D48" s="119"/>
      <c r="F48" s="16">
        <v>6</v>
      </c>
      <c r="G48" s="94"/>
      <c r="H48" s="78"/>
      <c r="I48" s="331" t="str">
        <f>IF(H50=1,F44,IF(H50=2,F50," "))</f>
        <v>TĄDEL Katarzyna</v>
      </c>
      <c r="J48" s="331"/>
      <c r="K48" s="114"/>
      <c r="L48" s="33"/>
      <c r="M48" s="33"/>
      <c r="N48" s="87"/>
      <c r="P48" s="126"/>
      <c r="Q48" s="127"/>
      <c r="R48" s="127"/>
      <c r="S48" s="127"/>
      <c r="T48" s="127"/>
      <c r="U48" s="127"/>
    </row>
    <row r="49" spans="1:24" ht="20.100000000000001" customHeight="1">
      <c r="A49" s="342" t="s">
        <v>75</v>
      </c>
      <c r="B49" s="83"/>
      <c r="C49" s="343" t="str">
        <f>VLOOKUP("29.",lista!B8:O39,3,FALSE)</f>
        <v>-</v>
      </c>
      <c r="D49" s="344"/>
      <c r="E49" s="95"/>
      <c r="F49" s="87"/>
      <c r="G49" s="88"/>
      <c r="H49" s="82"/>
      <c r="I49" s="329" t="str">
        <f>IF(H50=1,F45,IF(H50=2,F51," "))</f>
        <v>PODSIADŁO ZBIGNIEW</v>
      </c>
      <c r="J49" s="329"/>
      <c r="K49" s="120"/>
      <c r="L49" s="71"/>
      <c r="M49" s="109"/>
      <c r="N49" s="87"/>
      <c r="P49" s="126"/>
      <c r="Q49" s="127"/>
      <c r="R49" s="127"/>
      <c r="S49" s="127"/>
      <c r="T49" s="127"/>
      <c r="U49" s="127"/>
    </row>
    <row r="50" spans="1:24" ht="20.100000000000001" customHeight="1">
      <c r="A50" s="342"/>
      <c r="B50" s="97"/>
      <c r="C50" s="264" t="str">
        <f>VLOOKUP("29.",lista!B8:O39,9,FALSE)</f>
        <v>-</v>
      </c>
      <c r="D50" s="265"/>
      <c r="E50" s="78"/>
      <c r="F50" s="331" t="str">
        <f>IF(E52=1,C49,IF(E52=2,C52," "))</f>
        <v>CZARNECKA Jolanta</v>
      </c>
      <c r="G50" s="333"/>
      <c r="H50" s="84">
        <v>1</v>
      </c>
      <c r="I50" s="270"/>
      <c r="J50" s="121"/>
      <c r="K50" s="107"/>
      <c r="L50" s="71"/>
      <c r="M50" s="109"/>
      <c r="N50" s="87"/>
      <c r="P50" s="126"/>
      <c r="Q50" s="127"/>
      <c r="R50" s="127"/>
      <c r="S50" s="127"/>
      <c r="T50" s="127"/>
      <c r="U50" s="127"/>
    </row>
    <row r="51" spans="1:24" ht="20.100000000000001" customHeight="1">
      <c r="A51" s="79"/>
      <c r="B51" s="128"/>
      <c r="C51" s="16"/>
      <c r="D51" s="112"/>
      <c r="E51" s="82"/>
      <c r="F51" s="329" t="str">
        <f>IF(E52=1,C50,IF(E52=2,C53," "))</f>
        <v>AMPUŁA Andrzej</v>
      </c>
      <c r="G51" s="330"/>
      <c r="H51" s="99"/>
      <c r="I51" s="33"/>
      <c r="J51" s="122"/>
      <c r="K51" s="101"/>
      <c r="L51" s="33"/>
      <c r="M51" s="33"/>
      <c r="O51" s="124"/>
      <c r="P51" s="126"/>
      <c r="Q51" s="127"/>
      <c r="R51" s="127"/>
      <c r="S51" s="127"/>
      <c r="T51" s="127"/>
      <c r="U51" s="127"/>
      <c r="V51" s="124"/>
    </row>
    <row r="52" spans="1:24" ht="20.100000000000001" customHeight="1">
      <c r="A52" s="342" t="s">
        <v>52</v>
      </c>
      <c r="B52" s="129"/>
      <c r="C52" s="264" t="str">
        <f>VLOOKUP("4.",lista!B8:O39,3,FALSE)</f>
        <v>CZARNECKA Jolanta</v>
      </c>
      <c r="D52" s="266"/>
      <c r="E52" s="84">
        <v>2</v>
      </c>
      <c r="F52" s="209"/>
      <c r="G52" s="85"/>
      <c r="H52" s="99"/>
      <c r="I52" s="33"/>
      <c r="J52" s="122"/>
      <c r="K52" s="101"/>
      <c r="L52" s="33"/>
      <c r="M52" s="33"/>
      <c r="O52" s="124"/>
      <c r="P52" s="126"/>
      <c r="Q52" s="127"/>
      <c r="R52" s="127"/>
      <c r="S52" s="127"/>
      <c r="T52" s="127"/>
      <c r="U52" s="127"/>
      <c r="V52" s="130"/>
      <c r="W52" s="130"/>
      <c r="X52" s="130"/>
    </row>
    <row r="53" spans="1:24" ht="20.100000000000001" customHeight="1">
      <c r="A53" s="342"/>
      <c r="B53" s="103"/>
      <c r="C53" s="337" t="str">
        <f>VLOOKUP("4.",lista!B8:O39,9,FALSE)</f>
        <v>AMPUŁA Andrzej</v>
      </c>
      <c r="D53" s="338"/>
      <c r="E53" s="89"/>
      <c r="F53" s="71"/>
      <c r="G53" s="72"/>
      <c r="H53" s="339" t="s">
        <v>59</v>
      </c>
      <c r="I53" s="339"/>
      <c r="J53" s="339"/>
      <c r="K53" s="339" t="s">
        <v>34</v>
      </c>
      <c r="L53" s="339"/>
      <c r="M53" s="339"/>
      <c r="O53" s="124"/>
      <c r="P53" s="190"/>
      <c r="Q53" s="190"/>
      <c r="R53" s="190"/>
      <c r="S53" s="190"/>
      <c r="T53" s="190"/>
      <c r="U53" s="190"/>
      <c r="V53" s="130"/>
      <c r="W53" s="130"/>
      <c r="X53" s="130"/>
    </row>
    <row r="54" spans="1:24" ht="20.100000000000001" customHeight="1">
      <c r="A54" s="196"/>
      <c r="B54" s="197"/>
      <c r="C54" s="133"/>
      <c r="D54" s="133"/>
      <c r="E54" s="89"/>
      <c r="F54" s="71"/>
      <c r="G54" s="72"/>
      <c r="H54" s="89"/>
      <c r="I54" s="71"/>
      <c r="J54" s="72"/>
      <c r="K54" s="107"/>
      <c r="L54" s="71"/>
      <c r="M54" s="109"/>
      <c r="O54" s="124"/>
      <c r="P54" s="190"/>
      <c r="Q54" s="190"/>
      <c r="R54" s="190"/>
      <c r="S54" s="190"/>
      <c r="T54" s="190"/>
      <c r="U54" s="190"/>
      <c r="V54" s="130"/>
      <c r="W54" s="130"/>
      <c r="X54" s="130"/>
    </row>
    <row r="55" spans="1:24" ht="20.100000000000001" customHeight="1">
      <c r="A55" s="196"/>
      <c r="B55" s="197"/>
      <c r="C55" s="133"/>
      <c r="D55" s="133"/>
      <c r="E55" s="89"/>
      <c r="F55" s="71"/>
      <c r="G55" s="336" t="s">
        <v>119</v>
      </c>
      <c r="H55" s="200"/>
      <c r="I55" s="340" t="str">
        <f>L29</f>
        <v>KASPRZAK Natalia</v>
      </c>
      <c r="J55" s="341"/>
      <c r="K55" s="95"/>
      <c r="L55" s="87"/>
      <c r="M55" s="105"/>
      <c r="N55" s="87"/>
      <c r="O55" s="124"/>
      <c r="P55" s="190"/>
      <c r="Q55" s="190"/>
      <c r="R55" s="190"/>
      <c r="S55" s="190"/>
      <c r="T55" s="190"/>
      <c r="U55" s="190"/>
      <c r="V55" s="130"/>
      <c r="W55" s="130"/>
      <c r="X55" s="130"/>
    </row>
    <row r="56" spans="1:24" s="130" customFormat="1" ht="20.100000000000001" customHeight="1">
      <c r="A56" s="79"/>
      <c r="B56" s="192"/>
      <c r="D56" s="98"/>
      <c r="E56" s="99"/>
      <c r="F56" s="33"/>
      <c r="G56" s="336"/>
      <c r="H56" s="97"/>
      <c r="I56" s="331" t="str">
        <f>L30</f>
        <v>PAWŁOWSKI Stanisław</v>
      </c>
      <c r="J56" s="333"/>
      <c r="K56" s="78"/>
      <c r="L56" s="331" t="str">
        <f>IF(K58=1,I55,IF(K58=2,I58," "))</f>
        <v>KASPRZAK Natalia</v>
      </c>
      <c r="M56" s="331"/>
      <c r="P56" s="126"/>
      <c r="Q56" s="127"/>
      <c r="R56" s="127"/>
      <c r="S56" s="127"/>
      <c r="T56" s="127"/>
      <c r="U56" s="127"/>
    </row>
    <row r="57" spans="1:24" s="130" customFormat="1" ht="20.100000000000001" customHeight="1">
      <c r="A57" s="79"/>
      <c r="B57" s="192"/>
      <c r="D57" s="98"/>
      <c r="E57" s="99"/>
      <c r="F57" s="133"/>
      <c r="G57" s="79"/>
      <c r="H57" s="128"/>
      <c r="I57" s="16">
        <v>2</v>
      </c>
      <c r="J57" s="112"/>
      <c r="K57" s="82"/>
      <c r="L57" s="329" t="str">
        <f>IF(K58=1,I56,IF(K58=2,I59," "))</f>
        <v>PAWŁOWSKI Stanisław</v>
      </c>
      <c r="M57" s="329"/>
      <c r="P57" s="126"/>
      <c r="Q57" s="127"/>
      <c r="R57" s="127"/>
      <c r="S57" s="127"/>
      <c r="T57" s="127"/>
      <c r="U57" s="127"/>
    </row>
    <row r="58" spans="1:24" s="130" customFormat="1" ht="20.100000000000001" customHeight="1">
      <c r="A58" s="79"/>
      <c r="B58" s="192"/>
      <c r="D58" s="98"/>
      <c r="E58" s="99"/>
      <c r="F58" s="133"/>
      <c r="G58" s="336" t="s">
        <v>120</v>
      </c>
      <c r="H58" s="129"/>
      <c r="I58" s="331" t="str">
        <f>L90</f>
        <v>BURACZEK Elżbieta</v>
      </c>
      <c r="J58" s="333"/>
      <c r="K58" s="84">
        <v>1</v>
      </c>
      <c r="L58" s="209"/>
      <c r="M58" s="85"/>
      <c r="P58" s="126"/>
      <c r="Q58" s="127"/>
      <c r="R58" s="127"/>
      <c r="S58" s="127"/>
      <c r="T58" s="127"/>
      <c r="U58" s="127"/>
    </row>
    <row r="59" spans="1:24" s="130" customFormat="1" ht="20.100000000000001" customHeight="1">
      <c r="A59" s="79"/>
      <c r="B59" s="192"/>
      <c r="D59" s="98"/>
      <c r="E59" s="99"/>
      <c r="F59" s="133"/>
      <c r="G59" s="336"/>
      <c r="H59" s="103"/>
      <c r="I59" s="337" t="str">
        <f>L91</f>
        <v>CIOŁEK Zbigniew</v>
      </c>
      <c r="J59" s="338"/>
      <c r="K59" s="89"/>
      <c r="L59" s="71"/>
      <c r="M59" s="72"/>
      <c r="P59" s="126"/>
      <c r="Q59" s="127"/>
      <c r="R59" s="127"/>
      <c r="S59" s="127"/>
      <c r="T59" s="127"/>
      <c r="U59" s="127"/>
    </row>
    <row r="60" spans="1:24" s="130" customFormat="1" ht="20.100000000000001" customHeight="1">
      <c r="A60" s="260"/>
      <c r="B60" s="192"/>
      <c r="D60" s="98"/>
      <c r="E60" s="99"/>
      <c r="F60" s="133"/>
      <c r="G60" s="239"/>
      <c r="H60" s="197"/>
      <c r="I60" s="133"/>
      <c r="J60" s="133"/>
      <c r="K60" s="89"/>
      <c r="L60" s="71"/>
      <c r="M60" s="72"/>
      <c r="P60" s="126"/>
      <c r="Q60" s="127"/>
      <c r="R60" s="127"/>
      <c r="S60" s="127"/>
      <c r="T60" s="127"/>
      <c r="U60" s="127"/>
    </row>
    <row r="61" spans="1:24" s="130" customFormat="1" ht="20.100000000000001" customHeight="1">
      <c r="A61" s="263" t="str">
        <f>IF(info!C$7="","", CONCATENATE(info!B$7," ",info!C$7))</f>
        <v>Obsługa komputerowa Michał Majcher</v>
      </c>
      <c r="B61" s="60"/>
      <c r="C61" s="60"/>
      <c r="D61" s="61"/>
      <c r="E61" s="62"/>
      <c r="F61" s="60"/>
      <c r="G61" s="63"/>
      <c r="H61" s="62"/>
      <c r="I61" s="60"/>
      <c r="J61" s="63"/>
      <c r="K61" s="62"/>
      <c r="L61" s="60"/>
      <c r="M61" s="262" t="str">
        <f>IF(info!C$6="","", CONCATENATE(info!B$6," ",info!C$6))</f>
        <v>Sędzia Główny Bartosz Majcher</v>
      </c>
      <c r="P61" s="126"/>
      <c r="Q61" s="127"/>
      <c r="R61" s="127"/>
      <c r="S61" s="127"/>
      <c r="T61" s="127"/>
      <c r="U61" s="127"/>
    </row>
    <row r="62" spans="1:24" s="48" customFormat="1" ht="43.5" customHeight="1">
      <c r="A62" s="46"/>
      <c r="B62" s="47"/>
      <c r="C62" s="334" t="str">
        <f>IF(info!C3="","",CONCATENATE(info!C3,", ",info!C4," ",info!C5))</f>
        <v>64. Mistrzostwa Polski Kolejarzy, Suchedniów 21-23.04.2023r.</v>
      </c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O62" s="198"/>
      <c r="P62" s="199"/>
      <c r="Q62" s="199"/>
      <c r="R62" s="199"/>
      <c r="S62" s="199"/>
      <c r="T62" s="199"/>
      <c r="U62" s="199"/>
      <c r="V62" s="198"/>
    </row>
    <row r="63" spans="1:24" s="48" customFormat="1" ht="20.100000000000001" customHeight="1">
      <c r="A63" s="50"/>
      <c r="B63" s="51"/>
      <c r="D63" s="52"/>
      <c r="E63" s="53"/>
      <c r="F63" s="51"/>
      <c r="G63" s="54"/>
      <c r="H63" s="53"/>
      <c r="J63" s="55"/>
      <c r="K63" s="56"/>
      <c r="O63" s="198"/>
      <c r="P63" s="199"/>
      <c r="Q63" s="199"/>
      <c r="R63" s="199"/>
      <c r="S63" s="199"/>
      <c r="T63" s="199"/>
      <c r="U63" s="199"/>
      <c r="V63" s="198"/>
    </row>
    <row r="64" spans="1:24" s="48" customFormat="1" ht="28.5" customHeight="1">
      <c r="A64" s="335" t="str">
        <f>CONCATENATE(IF(info!C8="","",info!C8)," - turniej główny 2/2")</f>
        <v>GRA MIESZANA - turniej główny 2/2</v>
      </c>
      <c r="B64" s="335"/>
      <c r="C64" s="335"/>
      <c r="D64" s="335"/>
      <c r="E64" s="335"/>
      <c r="F64" s="335"/>
      <c r="G64" s="335"/>
      <c r="H64" s="335"/>
      <c r="I64" s="335"/>
      <c r="J64" s="335"/>
      <c r="K64" s="335"/>
      <c r="L64" s="335"/>
      <c r="M64" s="335"/>
      <c r="O64" s="198"/>
      <c r="P64" s="199"/>
      <c r="Q64" s="199"/>
      <c r="R64" s="199"/>
      <c r="S64" s="199"/>
      <c r="T64" s="199"/>
      <c r="U64" s="199"/>
      <c r="V64" s="198"/>
    </row>
    <row r="65" spans="1:22" s="48" customFormat="1" ht="20.100000000000001" customHeight="1">
      <c r="A65" s="57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P65" s="49"/>
      <c r="Q65" s="49"/>
      <c r="R65" s="49"/>
      <c r="S65" s="49"/>
      <c r="T65" s="49"/>
      <c r="U65" s="49"/>
    </row>
    <row r="66" spans="1:22" s="49" customFormat="1" ht="20.100000000000001" customHeight="1">
      <c r="A66" s="65"/>
      <c r="B66" s="339" t="s">
        <v>58</v>
      </c>
      <c r="C66" s="339"/>
      <c r="D66" s="339"/>
      <c r="E66" s="339" t="s">
        <v>35</v>
      </c>
      <c r="F66" s="339"/>
      <c r="G66" s="339"/>
      <c r="H66" s="339" t="s">
        <v>36</v>
      </c>
      <c r="I66" s="339"/>
      <c r="J66" s="339"/>
      <c r="K66" s="339" t="s">
        <v>37</v>
      </c>
      <c r="L66" s="339"/>
      <c r="M66" s="339"/>
      <c r="O66" s="204"/>
      <c r="P66" s="66" t="s">
        <v>60</v>
      </c>
      <c r="Q66" s="66" t="s">
        <v>104</v>
      </c>
      <c r="R66" s="66" t="s">
        <v>105</v>
      </c>
      <c r="S66" s="66" t="s">
        <v>106</v>
      </c>
      <c r="T66" s="66" t="s">
        <v>107</v>
      </c>
      <c r="U66" s="66" t="s">
        <v>61</v>
      </c>
      <c r="V66" s="204"/>
    </row>
    <row r="67" spans="1:22" s="48" customFormat="1" ht="20.100000000000001" customHeight="1">
      <c r="A67" s="59"/>
      <c r="B67" s="67"/>
      <c r="C67" s="67"/>
      <c r="D67" s="68"/>
      <c r="E67" s="62"/>
      <c r="F67" s="60"/>
      <c r="G67" s="63"/>
      <c r="H67" s="62"/>
      <c r="I67" s="60"/>
      <c r="J67" s="63"/>
      <c r="K67" s="62"/>
      <c r="L67" s="60"/>
      <c r="M67" s="60"/>
      <c r="O67" s="64"/>
      <c r="P67" s="367">
        <v>201</v>
      </c>
      <c r="Q67" s="267" t="str">
        <f>C68</f>
        <v>DRZYMAŁA Jadwiga</v>
      </c>
      <c r="R67" s="267" t="str">
        <f>C69</f>
        <v>GAWRON Bogdan</v>
      </c>
      <c r="S67" s="267" t="str">
        <f>C71</f>
        <v>-</v>
      </c>
      <c r="T67" s="267" t="str">
        <f>C72</f>
        <v>-</v>
      </c>
      <c r="U67" s="267" t="s">
        <v>46</v>
      </c>
      <c r="V67" s="64"/>
    </row>
    <row r="68" spans="1:22" ht="20.100000000000001" customHeight="1">
      <c r="A68" s="342" t="s">
        <v>53</v>
      </c>
      <c r="B68" s="69"/>
      <c r="C68" s="343" t="str">
        <f>VLOOKUP("3.",lista!B8:O39,3,FALSE)</f>
        <v>DRZYMAŁA Jadwiga</v>
      </c>
      <c r="D68" s="344"/>
      <c r="E68" s="70"/>
      <c r="F68" s="71"/>
      <c r="G68" s="72"/>
      <c r="O68" s="130"/>
      <c r="P68" s="367">
        <v>202</v>
      </c>
      <c r="Q68" s="267" t="str">
        <f>C74</f>
        <v>-</v>
      </c>
      <c r="R68" s="267" t="str">
        <f>C75</f>
        <v>-</v>
      </c>
      <c r="S68" s="267" t="str">
        <f>C77</f>
        <v>MICHALSKA Elżbieta</v>
      </c>
      <c r="T68" s="267" t="str">
        <f>C78</f>
        <v>KUREK Ryszard</v>
      </c>
      <c r="U68" s="267" t="s">
        <v>46</v>
      </c>
      <c r="V68" s="130"/>
    </row>
    <row r="69" spans="1:22" ht="20.100000000000001" customHeight="1">
      <c r="A69" s="342"/>
      <c r="B69" s="110"/>
      <c r="C69" s="264" t="str">
        <f>VLOOKUP("3.",lista!B8:O39,9,FALSE)</f>
        <v>GAWRON Bogdan</v>
      </c>
      <c r="D69" s="265"/>
      <c r="E69" s="78"/>
      <c r="F69" s="331" t="str">
        <f>IF(E71=1,C68,IF(E71=2,C71," "))</f>
        <v>DRZYMAŁA Jadwiga</v>
      </c>
      <c r="G69" s="331"/>
      <c r="O69" s="130"/>
      <c r="P69" s="367">
        <v>203</v>
      </c>
      <c r="Q69" s="267" t="str">
        <f>C80</f>
        <v>WRONA Monika</v>
      </c>
      <c r="R69" s="267" t="str">
        <f>C81</f>
        <v>KOSSAK Bartosz</v>
      </c>
      <c r="S69" s="267" t="str">
        <f>C83</f>
        <v>-</v>
      </c>
      <c r="T69" s="267" t="str">
        <f>C84</f>
        <v>-</v>
      </c>
      <c r="U69" s="267" t="s">
        <v>46</v>
      </c>
      <c r="V69" s="130"/>
    </row>
    <row r="70" spans="1:22" ht="20.100000000000001" customHeight="1">
      <c r="A70" s="79"/>
      <c r="C70" s="16"/>
      <c r="D70" s="112"/>
      <c r="E70" s="82"/>
      <c r="F70" s="329" t="str">
        <f>IF(E71=1,C69,IF(E71=2,C72," "))</f>
        <v>GAWRON Bogdan</v>
      </c>
      <c r="G70" s="329"/>
      <c r="O70" s="130"/>
      <c r="P70" s="367">
        <v>204</v>
      </c>
      <c r="Q70" s="267" t="str">
        <f>C86</f>
        <v>-</v>
      </c>
      <c r="R70" s="267" t="str">
        <f>C87</f>
        <v>-</v>
      </c>
      <c r="S70" s="267" t="str">
        <f>C89</f>
        <v>ŚLUSARCZYK Urszula</v>
      </c>
      <c r="T70" s="267" t="str">
        <f>C90</f>
        <v>KACZMARCZYK Kamil</v>
      </c>
      <c r="U70" s="267" t="s">
        <v>46</v>
      </c>
      <c r="V70" s="130"/>
    </row>
    <row r="71" spans="1:22" ht="20.100000000000001" customHeight="1">
      <c r="A71" s="342" t="s">
        <v>76</v>
      </c>
      <c r="B71" s="102"/>
      <c r="C71" s="264" t="str">
        <f>VLOOKUP("30.",lista!B8:O39,3,FALSE)</f>
        <v>-</v>
      </c>
      <c r="D71" s="266"/>
      <c r="E71" s="84">
        <v>1</v>
      </c>
      <c r="F71" s="209"/>
      <c r="G71" s="86"/>
      <c r="O71" s="130"/>
      <c r="P71" s="367">
        <v>205</v>
      </c>
      <c r="Q71" s="267" t="str">
        <f>C92</f>
        <v>BURACZEK Elżbieta</v>
      </c>
      <c r="R71" s="267" t="str">
        <f>C93</f>
        <v>CIOŁEK Zbigniew</v>
      </c>
      <c r="S71" s="267" t="str">
        <f>C95</f>
        <v>-</v>
      </c>
      <c r="T71" s="267" t="str">
        <f>C96</f>
        <v>-</v>
      </c>
      <c r="U71" s="267" t="s">
        <v>46</v>
      </c>
      <c r="V71" s="130"/>
    </row>
    <row r="72" spans="1:22" ht="20.100000000000001" customHeight="1">
      <c r="A72" s="342"/>
      <c r="B72" s="103"/>
      <c r="C72" s="337" t="str">
        <f>VLOOKUP("30.",lista!B8:O39,9,FALSE)</f>
        <v>-</v>
      </c>
      <c r="D72" s="338"/>
      <c r="F72" s="87"/>
      <c r="G72" s="88"/>
      <c r="H72" s="89"/>
      <c r="I72" s="90"/>
      <c r="J72" s="72"/>
      <c r="O72" s="130"/>
      <c r="P72" s="367">
        <v>206</v>
      </c>
      <c r="Q72" s="267" t="str">
        <f>C98</f>
        <v>-</v>
      </c>
      <c r="R72" s="267" t="str">
        <f>C99</f>
        <v>-</v>
      </c>
      <c r="S72" s="267" t="str">
        <f>C101</f>
        <v>BALCERZAK Aneta</v>
      </c>
      <c r="T72" s="267" t="str">
        <f>C102</f>
        <v>WOŁOWIEC Ryszard</v>
      </c>
      <c r="U72" s="267" t="s">
        <v>46</v>
      </c>
      <c r="V72" s="130"/>
    </row>
    <row r="73" spans="1:22" ht="20.100000000000001" customHeight="1">
      <c r="A73" s="79"/>
      <c r="B73" s="117"/>
      <c r="C73" s="118"/>
      <c r="D73" s="119"/>
      <c r="F73" s="16">
        <v>10</v>
      </c>
      <c r="G73" s="94"/>
      <c r="H73" s="78"/>
      <c r="I73" s="331" t="str">
        <f>IF(H75=1,F69,IF(H75=2,F75," "))</f>
        <v>DRZYMAŁA Jadwiga</v>
      </c>
      <c r="J73" s="331"/>
      <c r="O73" s="130"/>
      <c r="P73" s="367">
        <v>207</v>
      </c>
      <c r="Q73" s="267" t="str">
        <f>C104</f>
        <v>PAWLAK Katarzyna</v>
      </c>
      <c r="R73" s="267" t="str">
        <f>C105</f>
        <v>DROBNY Maciej</v>
      </c>
      <c r="S73" s="267" t="str">
        <f>C107</f>
        <v>-</v>
      </c>
      <c r="T73" s="267" t="str">
        <f>C108</f>
        <v>-</v>
      </c>
      <c r="U73" s="267" t="s">
        <v>46</v>
      </c>
      <c r="V73" s="130"/>
    </row>
    <row r="74" spans="1:22" ht="20.100000000000001" customHeight="1">
      <c r="A74" s="342" t="s">
        <v>77</v>
      </c>
      <c r="B74" s="83"/>
      <c r="C74" s="343" t="str">
        <f>VLOOKUP("19.",lista!B8:O39,3,FALSE)</f>
        <v>-</v>
      </c>
      <c r="D74" s="344"/>
      <c r="E74" s="95"/>
      <c r="F74" s="87"/>
      <c r="G74" s="88"/>
      <c r="H74" s="82"/>
      <c r="I74" s="329" t="str">
        <f>IF(H75=1,F70,IF(H75=2,F76," "))</f>
        <v>GAWRON Bogdan</v>
      </c>
      <c r="J74" s="329"/>
      <c r="L74" s="87"/>
      <c r="M74" s="96"/>
      <c r="O74" s="130"/>
      <c r="P74" s="367">
        <v>208</v>
      </c>
      <c r="Q74" s="267" t="str">
        <f>C110</f>
        <v>-</v>
      </c>
      <c r="R74" s="267" t="str">
        <f>C111</f>
        <v>-</v>
      </c>
      <c r="S74" s="267" t="str">
        <f>C113</f>
        <v>GAPSKA Krystyna</v>
      </c>
      <c r="T74" s="267" t="str">
        <f>C114</f>
        <v>NOWAKOWSKI Robert</v>
      </c>
      <c r="U74" s="267" t="s">
        <v>46</v>
      </c>
      <c r="V74" s="130"/>
    </row>
    <row r="75" spans="1:22" ht="20.100000000000001" customHeight="1">
      <c r="A75" s="342"/>
      <c r="B75" s="97"/>
      <c r="C75" s="264" t="str">
        <f>VLOOKUP("19.",lista!B8:O39,9,FALSE)</f>
        <v>-</v>
      </c>
      <c r="D75" s="265"/>
      <c r="E75" s="78"/>
      <c r="F75" s="331" t="str">
        <f>IF(E77=1,C74,IF(E77=2,C77," "))</f>
        <v>MICHALSKA Elżbieta</v>
      </c>
      <c r="G75" s="333"/>
      <c r="H75" s="84">
        <v>1</v>
      </c>
      <c r="I75" s="209"/>
      <c r="J75" s="86"/>
      <c r="L75" s="87"/>
      <c r="M75" s="96"/>
      <c r="O75" s="130"/>
      <c r="P75" s="126"/>
      <c r="Q75" s="127"/>
      <c r="R75" s="127"/>
      <c r="S75" s="127"/>
      <c r="T75" s="127"/>
      <c r="U75" s="127"/>
      <c r="V75" s="130"/>
    </row>
    <row r="76" spans="1:22" ht="20.100000000000001" customHeight="1">
      <c r="A76" s="79"/>
      <c r="C76" s="16"/>
      <c r="D76" s="112"/>
      <c r="E76" s="82"/>
      <c r="F76" s="329" t="str">
        <f>IF(E77=1,C75,IF(E77=2,C78," "))</f>
        <v>KUREK Ryszard</v>
      </c>
      <c r="G76" s="330"/>
      <c r="H76" s="99"/>
      <c r="I76" s="33"/>
      <c r="J76" s="100"/>
      <c r="K76" s="101"/>
      <c r="L76" s="33"/>
      <c r="M76" s="33"/>
      <c r="O76" s="130"/>
      <c r="P76" s="126"/>
      <c r="Q76" s="127"/>
      <c r="R76" s="127"/>
      <c r="S76" s="127"/>
      <c r="T76" s="127"/>
      <c r="U76" s="127"/>
      <c r="V76" s="130"/>
    </row>
    <row r="77" spans="1:22" ht="20.100000000000001" customHeight="1">
      <c r="A77" s="342" t="s">
        <v>78</v>
      </c>
      <c r="B77" s="102"/>
      <c r="C77" s="264" t="str">
        <f>VLOOKUP("14.",lista!B8:O39,3,FALSE)</f>
        <v>MICHALSKA Elżbieta</v>
      </c>
      <c r="D77" s="266"/>
      <c r="E77" s="84">
        <v>2</v>
      </c>
      <c r="F77" s="209"/>
      <c r="G77" s="85"/>
      <c r="H77" s="99"/>
      <c r="I77" s="33"/>
      <c r="J77" s="100"/>
      <c r="K77" s="101"/>
      <c r="L77" s="33"/>
      <c r="M77" s="33"/>
      <c r="O77" s="130"/>
      <c r="P77" s="126"/>
      <c r="Q77" s="127"/>
      <c r="R77" s="127"/>
      <c r="S77" s="127"/>
      <c r="T77" s="127"/>
      <c r="U77" s="127"/>
      <c r="V77" s="130"/>
    </row>
    <row r="78" spans="1:22" ht="20.100000000000001" customHeight="1">
      <c r="A78" s="342"/>
      <c r="B78" s="103"/>
      <c r="C78" s="337" t="str">
        <f>VLOOKUP("14.",lista!B8:O39,9,FALSE)</f>
        <v>KUREK Ryszard</v>
      </c>
      <c r="D78" s="338"/>
      <c r="E78" s="89"/>
      <c r="F78" s="71"/>
      <c r="G78" s="72"/>
      <c r="H78" s="89"/>
      <c r="I78" s="71"/>
      <c r="J78" s="104"/>
      <c r="K78" s="107"/>
      <c r="L78" s="193"/>
      <c r="M78" s="109"/>
      <c r="O78" s="130"/>
      <c r="P78" s="126"/>
      <c r="Q78" s="127"/>
      <c r="R78" s="127"/>
      <c r="S78" s="127"/>
      <c r="T78" s="127"/>
      <c r="U78" s="127"/>
      <c r="V78" s="130"/>
    </row>
    <row r="79" spans="1:22" ht="20.100000000000001" customHeight="1">
      <c r="A79" s="79"/>
      <c r="B79" s="91"/>
      <c r="E79" s="95"/>
      <c r="F79" s="87"/>
      <c r="G79" s="105"/>
      <c r="J79" s="106"/>
      <c r="K79" s="78"/>
      <c r="L79" s="331" t="str">
        <f>IF(K81=1,I73,IF(K81=2,I85," "))</f>
        <v>DRZYMAŁA Jadwiga</v>
      </c>
      <c r="M79" s="331"/>
      <c r="O79" s="130"/>
      <c r="P79" s="126"/>
      <c r="Q79" s="127"/>
      <c r="R79" s="127"/>
      <c r="S79" s="127"/>
      <c r="T79" s="127"/>
      <c r="U79" s="127"/>
      <c r="V79" s="130"/>
    </row>
    <row r="80" spans="1:22" ht="20.100000000000001" customHeight="1">
      <c r="A80" s="342" t="s">
        <v>79</v>
      </c>
      <c r="B80" s="69"/>
      <c r="C80" s="340" t="str">
        <f>VLOOKUP("11.",lista!B8:O39,3,FALSE)</f>
        <v>WRONA Monika</v>
      </c>
      <c r="D80" s="341"/>
      <c r="E80" s="70"/>
      <c r="F80" s="71"/>
      <c r="G80" s="72"/>
      <c r="H80" s="89"/>
      <c r="I80" s="16">
        <v>10</v>
      </c>
      <c r="J80" s="104"/>
      <c r="K80" s="82"/>
      <c r="L80" s="329" t="str">
        <f>IF(K81=1,I74,IF(K81=2,I86," "))</f>
        <v>GAWRON Bogdan</v>
      </c>
      <c r="M80" s="329"/>
      <c r="O80" s="130"/>
      <c r="P80" s="126"/>
      <c r="Q80" s="127"/>
      <c r="R80" s="127"/>
      <c r="S80" s="127"/>
      <c r="T80" s="127"/>
      <c r="U80" s="127"/>
      <c r="V80" s="130"/>
    </row>
    <row r="81" spans="1:22" ht="20.100000000000001" customHeight="1">
      <c r="A81" s="342"/>
      <c r="B81" s="110"/>
      <c r="C81" s="264" t="str">
        <f>VLOOKUP("11.",lista!B8:O39,9,FALSE)</f>
        <v>KOSSAK Bartosz</v>
      </c>
      <c r="D81" s="265"/>
      <c r="E81" s="78"/>
      <c r="F81" s="331" t="str">
        <f>IF(E83=1,C80,IF(E83=2,C83," "))</f>
        <v>WRONA Monika</v>
      </c>
      <c r="G81" s="331"/>
      <c r="H81" s="89"/>
      <c r="I81" s="71"/>
      <c r="J81" s="104"/>
      <c r="K81" s="84">
        <v>1</v>
      </c>
      <c r="L81" s="210"/>
      <c r="M81" s="86"/>
      <c r="N81" s="208"/>
      <c r="O81" s="130"/>
      <c r="P81" s="126"/>
      <c r="Q81" s="127"/>
      <c r="R81" s="127"/>
      <c r="S81" s="127"/>
      <c r="T81" s="127"/>
      <c r="U81" s="127"/>
      <c r="V81" s="130"/>
    </row>
    <row r="82" spans="1:22" ht="20.100000000000001" customHeight="1">
      <c r="A82" s="79"/>
      <c r="C82" s="16"/>
      <c r="D82" s="112"/>
      <c r="E82" s="82"/>
      <c r="F82" s="329" t="str">
        <f>IF(E83=1,C81,IF(E83=2,C84," "))</f>
        <v>KOSSAK Bartosz</v>
      </c>
      <c r="G82" s="329"/>
      <c r="H82" s="99"/>
      <c r="I82" s="33"/>
      <c r="J82" s="100"/>
      <c r="K82" s="101"/>
      <c r="L82" s="33"/>
      <c r="M82" s="113"/>
      <c r="N82" s="208"/>
      <c r="O82" s="130"/>
      <c r="P82" s="126"/>
      <c r="Q82" s="127"/>
      <c r="R82" s="127"/>
      <c r="S82" s="127"/>
      <c r="T82" s="127"/>
      <c r="U82" s="127"/>
      <c r="V82" s="130"/>
    </row>
    <row r="83" spans="1:22" ht="20.100000000000001" customHeight="1">
      <c r="A83" s="342" t="s">
        <v>80</v>
      </c>
      <c r="B83" s="102"/>
      <c r="C83" s="264" t="str">
        <f>VLOOKUP("22.",lista!B8:O39,3,FALSE)</f>
        <v>-</v>
      </c>
      <c r="D83" s="266"/>
      <c r="E83" s="84">
        <v>1</v>
      </c>
      <c r="F83" s="209"/>
      <c r="G83" s="86"/>
      <c r="K83" s="114"/>
      <c r="L83" s="33"/>
      <c r="M83" s="113"/>
      <c r="N83" s="208"/>
      <c r="O83" s="130"/>
      <c r="P83" s="126"/>
      <c r="Q83" s="127"/>
      <c r="R83" s="127"/>
      <c r="S83" s="127"/>
      <c r="T83" s="127"/>
      <c r="U83" s="127"/>
      <c r="V83" s="130"/>
    </row>
    <row r="84" spans="1:22" ht="20.100000000000001" customHeight="1">
      <c r="A84" s="342"/>
      <c r="B84" s="103"/>
      <c r="C84" s="337" t="str">
        <f>VLOOKUP("22.",lista!B8:O39,9,FALSE)</f>
        <v>-</v>
      </c>
      <c r="D84" s="338"/>
      <c r="F84" s="87"/>
      <c r="G84" s="88"/>
      <c r="H84" s="89"/>
      <c r="I84" s="90"/>
      <c r="J84" s="72"/>
      <c r="K84" s="115"/>
      <c r="L84" s="87"/>
      <c r="M84" s="116"/>
      <c r="N84" s="208"/>
      <c r="O84" s="130"/>
      <c r="P84" s="126"/>
      <c r="Q84" s="127"/>
      <c r="R84" s="127"/>
      <c r="S84" s="127"/>
      <c r="T84" s="127"/>
      <c r="U84" s="127"/>
      <c r="V84" s="130"/>
    </row>
    <row r="85" spans="1:22" ht="20.100000000000001" customHeight="1">
      <c r="A85" s="79"/>
      <c r="B85" s="117"/>
      <c r="C85" s="118"/>
      <c r="D85" s="119"/>
      <c r="F85" s="16">
        <v>8</v>
      </c>
      <c r="G85" s="94"/>
      <c r="H85" s="78"/>
      <c r="I85" s="331" t="str">
        <f>IF(H87=1,F81,IF(H87=2,F87," "))</f>
        <v>WRONA Monika</v>
      </c>
      <c r="J85" s="331"/>
      <c r="K85" s="114"/>
      <c r="L85" s="33"/>
      <c r="M85" s="113"/>
      <c r="N85" s="208"/>
      <c r="O85" s="130"/>
      <c r="P85" s="126"/>
      <c r="Q85" s="127"/>
      <c r="R85" s="127"/>
      <c r="S85" s="127"/>
      <c r="T85" s="127"/>
      <c r="U85" s="127"/>
      <c r="V85" s="130"/>
    </row>
    <row r="86" spans="1:22" ht="20.100000000000001" customHeight="1">
      <c r="A86" s="342" t="s">
        <v>81</v>
      </c>
      <c r="B86" s="83"/>
      <c r="C86" s="343" t="str">
        <f>VLOOKUP("27.",lista!B8:O39,3,FALSE)</f>
        <v>-</v>
      </c>
      <c r="D86" s="344"/>
      <c r="E86" s="95"/>
      <c r="F86" s="87"/>
      <c r="G86" s="88"/>
      <c r="H86" s="82"/>
      <c r="I86" s="329" t="str">
        <f>IF(H87=1,F82,IF(H87=2,F88," "))</f>
        <v>KOSSAK Bartosz</v>
      </c>
      <c r="J86" s="329"/>
      <c r="K86" s="120"/>
      <c r="L86" s="71"/>
      <c r="M86" s="108"/>
      <c r="N86" s="208"/>
      <c r="O86" s="130"/>
      <c r="P86" s="66" t="s">
        <v>60</v>
      </c>
      <c r="Q86" s="66" t="s">
        <v>104</v>
      </c>
      <c r="R86" s="66" t="s">
        <v>105</v>
      </c>
      <c r="S86" s="66" t="s">
        <v>106</v>
      </c>
      <c r="T86" s="66" t="s">
        <v>107</v>
      </c>
      <c r="U86" s="66" t="s">
        <v>61</v>
      </c>
      <c r="V86" s="130"/>
    </row>
    <row r="87" spans="1:22" ht="20.100000000000001" customHeight="1">
      <c r="A87" s="342"/>
      <c r="B87" s="97"/>
      <c r="C87" s="264" t="str">
        <f>VLOOKUP("27.",lista!B8:O39,9,FALSE)</f>
        <v>-</v>
      </c>
      <c r="D87" s="265"/>
      <c r="E87" s="78"/>
      <c r="F87" s="331" t="str">
        <f>IF(E89=1,C86,IF(E89=2,C89," "))</f>
        <v>ŚLUSARCZYK Urszula</v>
      </c>
      <c r="G87" s="333"/>
      <c r="H87" s="84">
        <v>1</v>
      </c>
      <c r="I87" s="209"/>
      <c r="J87" s="121"/>
      <c r="K87" s="107"/>
      <c r="L87" s="71"/>
      <c r="M87" s="108"/>
      <c r="N87" s="208"/>
      <c r="O87" s="130"/>
      <c r="P87" s="367">
        <v>220</v>
      </c>
      <c r="Q87" s="267" t="str">
        <f>F69</f>
        <v>DRZYMAŁA Jadwiga</v>
      </c>
      <c r="R87" s="267" t="str">
        <f>F70</f>
        <v>GAWRON Bogdan</v>
      </c>
      <c r="S87" s="267" t="str">
        <f>F75</f>
        <v>MICHALSKA Elżbieta</v>
      </c>
      <c r="T87" s="267" t="str">
        <f>F76</f>
        <v>KUREK Ryszard</v>
      </c>
      <c r="U87" s="267" t="s">
        <v>46</v>
      </c>
      <c r="V87" s="130"/>
    </row>
    <row r="88" spans="1:22" ht="20.100000000000001" customHeight="1">
      <c r="A88" s="79"/>
      <c r="C88" s="16"/>
      <c r="D88" s="112"/>
      <c r="E88" s="82"/>
      <c r="F88" s="329" t="str">
        <f>IF(E89=1,C87,IF(E89=2,C90," "))</f>
        <v>KACZMARCZYK Kamil</v>
      </c>
      <c r="G88" s="330"/>
      <c r="H88" s="99"/>
      <c r="I88" s="33"/>
      <c r="J88" s="122"/>
      <c r="K88" s="101"/>
      <c r="L88" s="16">
        <v>7</v>
      </c>
      <c r="M88" s="113"/>
      <c r="N88" s="208"/>
      <c r="O88" s="130"/>
      <c r="P88" s="367">
        <v>221</v>
      </c>
      <c r="Q88" s="267" t="str">
        <f>F81</f>
        <v>WRONA Monika</v>
      </c>
      <c r="R88" s="267" t="str">
        <f>F82</f>
        <v>KOSSAK Bartosz</v>
      </c>
      <c r="S88" s="267" t="str">
        <f>F87</f>
        <v>ŚLUSARCZYK Urszula</v>
      </c>
      <c r="T88" s="267" t="str">
        <f>F88</f>
        <v>KACZMARCZYK Kamil</v>
      </c>
      <c r="U88" s="267" t="s">
        <v>46</v>
      </c>
      <c r="V88" s="130"/>
    </row>
    <row r="89" spans="1:22" ht="20.100000000000001" customHeight="1">
      <c r="A89" s="342" t="s">
        <v>82</v>
      </c>
      <c r="B89" s="102"/>
      <c r="C89" s="264" t="str">
        <f>VLOOKUP("6.",lista!B8:O39,3,FALSE)</f>
        <v>ŚLUSARCZYK Urszula</v>
      </c>
      <c r="D89" s="266"/>
      <c r="E89" s="84">
        <v>2</v>
      </c>
      <c r="F89" s="209"/>
      <c r="G89" s="85"/>
      <c r="H89" s="99"/>
      <c r="I89" s="33"/>
      <c r="J89" s="122"/>
      <c r="K89" s="101"/>
      <c r="L89" s="33"/>
      <c r="M89" s="113"/>
      <c r="N89" s="208"/>
      <c r="O89" s="130"/>
      <c r="P89" s="367">
        <v>222</v>
      </c>
      <c r="Q89" s="267" t="str">
        <f>F93</f>
        <v>BURACZEK Elżbieta</v>
      </c>
      <c r="R89" s="267" t="str">
        <f>F94</f>
        <v>CIOŁEK Zbigniew</v>
      </c>
      <c r="S89" s="267" t="str">
        <f>F99</f>
        <v>BALCERZAK Aneta</v>
      </c>
      <c r="T89" s="267" t="str">
        <f>F100</f>
        <v>WOŁOWIEC Ryszard</v>
      </c>
      <c r="U89" s="267" t="s">
        <v>46</v>
      </c>
      <c r="V89" s="130"/>
    </row>
    <row r="90" spans="1:22" ht="20.100000000000001" customHeight="1">
      <c r="A90" s="342"/>
      <c r="B90" s="103"/>
      <c r="C90" s="337" t="str">
        <f>VLOOKUP("6.",lista!B8:O39,9,FALSE)</f>
        <v>KACZMARCZYK Kamil</v>
      </c>
      <c r="D90" s="338"/>
      <c r="E90" s="89"/>
      <c r="F90" s="71"/>
      <c r="G90" s="72"/>
      <c r="H90" s="89"/>
      <c r="I90" s="71"/>
      <c r="J90" s="332" t="s">
        <v>39</v>
      </c>
      <c r="K90" s="202"/>
      <c r="L90" s="331" t="str">
        <f>IF(K92=1,L79,IF(K92=2,L103," "))</f>
        <v>BURACZEK Elżbieta</v>
      </c>
      <c r="M90" s="333"/>
      <c r="N90" s="208"/>
      <c r="O90" s="130"/>
      <c r="P90" s="367">
        <v>223</v>
      </c>
      <c r="Q90" s="267" t="str">
        <f>F105</f>
        <v>PAWLAK Katarzyna</v>
      </c>
      <c r="R90" s="267" t="str">
        <f>F106</f>
        <v>DROBNY Maciej</v>
      </c>
      <c r="S90" s="267" t="str">
        <f>F111</f>
        <v>GAPSKA Krystyna</v>
      </c>
      <c r="T90" s="267" t="str">
        <f>F112</f>
        <v>NOWAKOWSKI Robert</v>
      </c>
      <c r="U90" s="267" t="s">
        <v>46</v>
      </c>
      <c r="V90" s="130"/>
    </row>
    <row r="91" spans="1:22" ht="20.100000000000001" customHeight="1">
      <c r="A91" s="79"/>
      <c r="B91" s="91"/>
      <c r="J91" s="332"/>
      <c r="K91" s="203"/>
      <c r="L91" s="329" t="str">
        <f>IF(K92=1,L80,IF(K92=2,L104," "))</f>
        <v>CIOŁEK Zbigniew</v>
      </c>
      <c r="M91" s="330"/>
      <c r="N91" s="208"/>
      <c r="O91" s="130"/>
      <c r="P91" s="126"/>
      <c r="Q91" s="127"/>
      <c r="R91" s="127"/>
      <c r="S91" s="127"/>
      <c r="T91" s="127"/>
      <c r="U91" s="127"/>
      <c r="V91" s="130"/>
    </row>
    <row r="92" spans="1:22" ht="20.100000000000001" customHeight="1">
      <c r="A92" s="342" t="s">
        <v>83</v>
      </c>
      <c r="B92" s="69"/>
      <c r="C92" s="340" t="str">
        <f>VLOOKUP("7.",lista!B8:O39,3,FALSE)</f>
        <v>BURACZEK Elżbieta</v>
      </c>
      <c r="D92" s="341"/>
      <c r="E92" s="70"/>
      <c r="F92" s="71"/>
      <c r="G92" s="72"/>
      <c r="K92" s="211">
        <v>2</v>
      </c>
      <c r="L92" s="210"/>
      <c r="M92" s="86"/>
      <c r="N92" s="208"/>
      <c r="O92" s="130"/>
      <c r="P92" s="126"/>
      <c r="Q92" s="127"/>
      <c r="R92" s="127"/>
      <c r="S92" s="127"/>
      <c r="T92" s="127"/>
      <c r="U92" s="127"/>
      <c r="V92" s="130"/>
    </row>
    <row r="93" spans="1:22" ht="20.100000000000001" customHeight="1">
      <c r="A93" s="342"/>
      <c r="B93" s="110"/>
      <c r="C93" s="264" t="str">
        <f>VLOOKUP("7.",lista!B8:O39,9,FALSE)</f>
        <v>CIOŁEK Zbigniew</v>
      </c>
      <c r="D93" s="265"/>
      <c r="E93" s="78"/>
      <c r="F93" s="331" t="str">
        <f>IF(E95=1,C92,IF(E95=2,C95," "))</f>
        <v>BURACZEK Elżbieta</v>
      </c>
      <c r="G93" s="331"/>
      <c r="L93" s="107"/>
      <c r="M93" s="195"/>
      <c r="N93" s="208"/>
      <c r="O93" s="130"/>
      <c r="P93" s="126"/>
      <c r="Q93" s="127"/>
      <c r="R93" s="127"/>
      <c r="S93" s="127"/>
      <c r="T93" s="127"/>
      <c r="U93" s="127"/>
      <c r="V93" s="130"/>
    </row>
    <row r="94" spans="1:22" ht="20.100000000000001" customHeight="1">
      <c r="A94" s="79"/>
      <c r="C94" s="16"/>
      <c r="D94" s="112"/>
      <c r="E94" s="82"/>
      <c r="F94" s="329" t="str">
        <f>IF(E95=1,C93,IF(E95=2,C96," "))</f>
        <v>CIOŁEK Zbigniew</v>
      </c>
      <c r="G94" s="329"/>
      <c r="L94" s="87"/>
      <c r="M94" s="116"/>
      <c r="N94" s="208"/>
      <c r="O94" s="130"/>
      <c r="P94" s="66" t="s">
        <v>60</v>
      </c>
      <c r="Q94" s="66" t="s">
        <v>104</v>
      </c>
      <c r="R94" s="66" t="s">
        <v>105</v>
      </c>
      <c r="S94" s="66" t="s">
        <v>106</v>
      </c>
      <c r="T94" s="66" t="s">
        <v>107</v>
      </c>
      <c r="U94" s="66" t="s">
        <v>61</v>
      </c>
      <c r="V94" s="130"/>
    </row>
    <row r="95" spans="1:22" ht="20.100000000000001" customHeight="1">
      <c r="A95" s="342" t="s">
        <v>84</v>
      </c>
      <c r="B95" s="102"/>
      <c r="C95" s="264" t="str">
        <f>VLOOKUP("26.",lista!B8:O39,3,FALSE)</f>
        <v>-</v>
      </c>
      <c r="D95" s="266"/>
      <c r="E95" s="84">
        <v>1</v>
      </c>
      <c r="F95" s="209"/>
      <c r="G95" s="86"/>
      <c r="L95" s="87"/>
      <c r="M95" s="116"/>
      <c r="N95" s="208"/>
      <c r="O95" s="130"/>
      <c r="P95" s="367">
        <v>230</v>
      </c>
      <c r="Q95" s="267" t="str">
        <f>I73</f>
        <v>DRZYMAŁA Jadwiga</v>
      </c>
      <c r="R95" s="267" t="str">
        <f>I74</f>
        <v>GAWRON Bogdan</v>
      </c>
      <c r="S95" s="267" t="str">
        <f>I85</f>
        <v>WRONA Monika</v>
      </c>
      <c r="T95" s="267" t="str">
        <f>I86</f>
        <v>KOSSAK Bartosz</v>
      </c>
      <c r="U95" s="267" t="s">
        <v>46</v>
      </c>
      <c r="V95" s="130"/>
    </row>
    <row r="96" spans="1:22" ht="20.100000000000001" customHeight="1">
      <c r="A96" s="342"/>
      <c r="B96" s="103"/>
      <c r="C96" s="337" t="str">
        <f>VLOOKUP("26.",lista!B8:O39,9,FALSE)</f>
        <v>-</v>
      </c>
      <c r="D96" s="338"/>
      <c r="F96" s="87"/>
      <c r="G96" s="88"/>
      <c r="H96" s="89"/>
      <c r="I96" s="90"/>
      <c r="J96" s="72"/>
      <c r="L96" s="87"/>
      <c r="M96" s="116"/>
      <c r="N96" s="208"/>
      <c r="O96" s="130"/>
      <c r="P96" s="367">
        <v>231</v>
      </c>
      <c r="Q96" s="267" t="str">
        <f>I97</f>
        <v>BURACZEK Elżbieta</v>
      </c>
      <c r="R96" s="267" t="str">
        <f>I98</f>
        <v>CIOŁEK Zbigniew</v>
      </c>
      <c r="S96" s="267" t="str">
        <f>I109</f>
        <v>GAPSKA Krystyna</v>
      </c>
      <c r="T96" s="267" t="str">
        <f>I110</f>
        <v>NOWAKOWSKI Robert</v>
      </c>
      <c r="U96" s="267" t="s">
        <v>46</v>
      </c>
      <c r="V96" s="130"/>
    </row>
    <row r="97" spans="1:22" ht="20.100000000000001" customHeight="1">
      <c r="A97" s="79"/>
      <c r="B97" s="117"/>
      <c r="C97" s="131"/>
      <c r="D97" s="119"/>
      <c r="F97" s="16">
        <v>13</v>
      </c>
      <c r="G97" s="94"/>
      <c r="H97" s="78"/>
      <c r="I97" s="331" t="str">
        <f>IF(H99=1,F93,IF(H99=2,F99," "))</f>
        <v>BURACZEK Elżbieta</v>
      </c>
      <c r="J97" s="331"/>
      <c r="L97" s="87"/>
      <c r="M97" s="116"/>
      <c r="N97" s="208"/>
      <c r="O97" s="130"/>
      <c r="P97" s="126"/>
      <c r="Q97" s="127"/>
      <c r="R97" s="127"/>
      <c r="S97" s="127"/>
      <c r="T97" s="127"/>
      <c r="U97" s="127"/>
      <c r="V97" s="130"/>
    </row>
    <row r="98" spans="1:22" ht="20.100000000000001" customHeight="1">
      <c r="A98" s="342" t="s">
        <v>85</v>
      </c>
      <c r="B98" s="83"/>
      <c r="C98" s="343" t="str">
        <f>VLOOKUP("23.",lista!B8:O39,3,FALSE)</f>
        <v>-</v>
      </c>
      <c r="D98" s="344"/>
      <c r="E98" s="95"/>
      <c r="F98" s="87"/>
      <c r="G98" s="88"/>
      <c r="H98" s="82"/>
      <c r="I98" s="329" t="str">
        <f>IF(H99=1,F94,IF(H99=2,F100," "))</f>
        <v>CIOŁEK Zbigniew</v>
      </c>
      <c r="J98" s="329"/>
      <c r="L98" s="87"/>
      <c r="M98" s="116"/>
      <c r="N98" s="208"/>
      <c r="O98" s="130"/>
      <c r="P98" s="126"/>
      <c r="Q98" s="127"/>
      <c r="R98" s="127"/>
      <c r="S98" s="127"/>
      <c r="T98" s="127"/>
      <c r="U98" s="127"/>
      <c r="V98" s="130"/>
    </row>
    <row r="99" spans="1:22" ht="20.100000000000001" customHeight="1">
      <c r="A99" s="342"/>
      <c r="B99" s="97"/>
      <c r="C99" s="264" t="str">
        <f>VLOOKUP("23.",lista!B8:O39,9,FALSE)</f>
        <v>-</v>
      </c>
      <c r="D99" s="265"/>
      <c r="E99" s="78"/>
      <c r="F99" s="331" t="str">
        <f>IF(E101=1,C98,IF(E101=2,C101," "))</f>
        <v>BALCERZAK Aneta</v>
      </c>
      <c r="G99" s="333"/>
      <c r="H99" s="84">
        <v>1</v>
      </c>
      <c r="I99" s="209"/>
      <c r="J99" s="86"/>
      <c r="L99" s="87"/>
      <c r="M99" s="116"/>
      <c r="N99" s="208"/>
      <c r="O99" s="130"/>
      <c r="P99" s="191"/>
      <c r="Q99" s="191"/>
      <c r="R99" s="191"/>
      <c r="S99" s="191"/>
      <c r="T99" s="191"/>
      <c r="U99" s="191"/>
      <c r="V99" s="130"/>
    </row>
    <row r="100" spans="1:22" ht="20.100000000000001" customHeight="1">
      <c r="A100" s="79"/>
      <c r="C100" s="16"/>
      <c r="D100" s="112"/>
      <c r="E100" s="82"/>
      <c r="F100" s="329" t="str">
        <f>IF(E101=1,C99,IF(E101=2,C102," "))</f>
        <v>WOŁOWIEC Ryszard</v>
      </c>
      <c r="G100" s="330"/>
      <c r="H100" s="99"/>
      <c r="I100" s="33"/>
      <c r="J100" s="100"/>
      <c r="K100" s="101"/>
      <c r="L100" s="33"/>
      <c r="M100" s="113"/>
      <c r="N100" s="208"/>
      <c r="O100" s="130"/>
      <c r="P100" s="66" t="s">
        <v>60</v>
      </c>
      <c r="Q100" s="66" t="s">
        <v>104</v>
      </c>
      <c r="R100" s="66" t="s">
        <v>105</v>
      </c>
      <c r="S100" s="66" t="s">
        <v>106</v>
      </c>
      <c r="T100" s="66" t="s">
        <v>107</v>
      </c>
      <c r="U100" s="66" t="s">
        <v>61</v>
      </c>
      <c r="V100" s="130"/>
    </row>
    <row r="101" spans="1:22" ht="20.100000000000001" customHeight="1">
      <c r="A101" s="342" t="s">
        <v>86</v>
      </c>
      <c r="B101" s="102"/>
      <c r="C101" s="264" t="str">
        <f>VLOOKUP("10.",lista!B8:O39,3,FALSE)</f>
        <v>BALCERZAK Aneta</v>
      </c>
      <c r="D101" s="266"/>
      <c r="E101" s="84">
        <v>2</v>
      </c>
      <c r="F101" s="209"/>
      <c r="G101" s="85"/>
      <c r="H101" s="99"/>
      <c r="I101" s="33"/>
      <c r="J101" s="100"/>
      <c r="K101" s="101"/>
      <c r="L101" s="33"/>
      <c r="M101" s="113"/>
      <c r="N101" s="208"/>
      <c r="O101" s="130"/>
      <c r="P101" s="367">
        <v>240</v>
      </c>
      <c r="Q101" s="267" t="str">
        <f>L79</f>
        <v>DRZYMAŁA Jadwiga</v>
      </c>
      <c r="R101" s="267" t="str">
        <f>L80</f>
        <v>GAWRON Bogdan</v>
      </c>
      <c r="S101" s="267" t="str">
        <f>L103</f>
        <v>BURACZEK Elżbieta</v>
      </c>
      <c r="T101" s="267" t="str">
        <f>L104</f>
        <v>CIOŁEK Zbigniew</v>
      </c>
      <c r="U101" s="267" t="s">
        <v>46</v>
      </c>
      <c r="V101" s="130"/>
    </row>
    <row r="102" spans="1:22" ht="20.100000000000001" customHeight="1">
      <c r="A102" s="342"/>
      <c r="B102" s="103"/>
      <c r="C102" s="337" t="str">
        <f>VLOOKUP("10.",lista!B8:O39,9,FALSE)</f>
        <v>WOŁOWIEC Ryszard</v>
      </c>
      <c r="D102" s="338"/>
      <c r="E102" s="89"/>
      <c r="F102" s="71"/>
      <c r="G102" s="72"/>
      <c r="H102" s="89"/>
      <c r="I102" s="71"/>
      <c r="J102" s="104"/>
      <c r="K102" s="107"/>
      <c r="L102" s="193"/>
      <c r="M102" s="108"/>
      <c r="N102" s="208"/>
      <c r="O102" s="130"/>
      <c r="P102" s="191"/>
      <c r="Q102" s="191"/>
      <c r="R102" s="191"/>
      <c r="S102" s="191"/>
      <c r="T102" s="191"/>
      <c r="U102" s="191"/>
      <c r="V102" s="130"/>
    </row>
    <row r="103" spans="1:22" ht="20.100000000000001" customHeight="1">
      <c r="A103" s="79"/>
      <c r="B103" s="91"/>
      <c r="E103" s="95"/>
      <c r="F103" s="87"/>
      <c r="G103" s="105"/>
      <c r="J103" s="106"/>
      <c r="K103" s="78"/>
      <c r="L103" s="331" t="str">
        <f>IF(K105=1,I97,IF(K105=2,I109," "))</f>
        <v>BURACZEK Elżbieta</v>
      </c>
      <c r="M103" s="333"/>
      <c r="N103" s="208"/>
      <c r="O103" s="130"/>
      <c r="P103" s="191"/>
      <c r="Q103" s="191"/>
      <c r="R103" s="191"/>
      <c r="S103" s="191"/>
      <c r="T103" s="191"/>
      <c r="U103" s="191"/>
      <c r="V103" s="130"/>
    </row>
    <row r="104" spans="1:22" ht="20.100000000000001" customHeight="1">
      <c r="A104" s="342" t="s">
        <v>87</v>
      </c>
      <c r="B104" s="83"/>
      <c r="C104" s="340" t="str">
        <f>VLOOKUP("15.",lista!B8:O39,3,FALSE)</f>
        <v>PAWLAK Katarzyna</v>
      </c>
      <c r="D104" s="341"/>
      <c r="E104" s="70"/>
      <c r="F104" s="71"/>
      <c r="G104" s="72"/>
      <c r="H104" s="89"/>
      <c r="I104" s="16">
        <v>7</v>
      </c>
      <c r="J104" s="104"/>
      <c r="K104" s="82"/>
      <c r="L104" s="329" t="str">
        <f>IF(K105=1,I98,IF(K105=2,I110," "))</f>
        <v>CIOŁEK Zbigniew</v>
      </c>
      <c r="M104" s="330"/>
      <c r="N104" s="208"/>
      <c r="O104" s="130"/>
      <c r="P104" s="191"/>
      <c r="Q104" s="191"/>
      <c r="R104" s="191"/>
      <c r="S104" s="191"/>
      <c r="T104" s="191"/>
      <c r="U104" s="191"/>
      <c r="V104" s="130"/>
    </row>
    <row r="105" spans="1:22" ht="20.100000000000001" customHeight="1">
      <c r="A105" s="342"/>
      <c r="B105" s="97"/>
      <c r="C105" s="264" t="str">
        <f>VLOOKUP("15.",lista!B8:O39,9,FALSE)</f>
        <v>DROBNY Maciej</v>
      </c>
      <c r="D105" s="265"/>
      <c r="E105" s="78"/>
      <c r="F105" s="331" t="str">
        <f>IF(E107=1,C104,IF(E107=2,C107," "))</f>
        <v>PAWLAK Katarzyna</v>
      </c>
      <c r="G105" s="331"/>
      <c r="H105" s="89"/>
      <c r="I105" s="71"/>
      <c r="J105" s="104"/>
      <c r="K105" s="84">
        <v>1</v>
      </c>
      <c r="L105" s="209"/>
      <c r="M105" s="201"/>
      <c r="N105" s="87"/>
      <c r="O105" s="130"/>
      <c r="P105" s="66" t="s">
        <v>60</v>
      </c>
      <c r="Q105" s="66" t="s">
        <v>104</v>
      </c>
      <c r="R105" s="66" t="s">
        <v>105</v>
      </c>
      <c r="S105" s="66" t="s">
        <v>106</v>
      </c>
      <c r="T105" s="66" t="s">
        <v>107</v>
      </c>
      <c r="U105" s="66" t="s">
        <v>61</v>
      </c>
      <c r="V105" s="130"/>
    </row>
    <row r="106" spans="1:22" ht="20.100000000000001" customHeight="1">
      <c r="A106" s="79"/>
      <c r="C106" s="16"/>
      <c r="D106" s="112"/>
      <c r="E106" s="82"/>
      <c r="F106" s="329" t="str">
        <f>IF(E107=1,C105,IF(E107=2,C108," "))</f>
        <v>DROBNY Maciej</v>
      </c>
      <c r="G106" s="329"/>
      <c r="H106" s="99"/>
      <c r="I106" s="33"/>
      <c r="J106" s="100"/>
      <c r="K106" s="101"/>
      <c r="L106" s="33"/>
      <c r="M106" s="33"/>
      <c r="N106" s="87"/>
      <c r="O106" s="130"/>
      <c r="P106" s="367">
        <v>250</v>
      </c>
      <c r="Q106" s="267" t="str">
        <f>I116</f>
        <v>PODSIADŁO Zbigniew</v>
      </c>
      <c r="R106" s="267">
        <f>I117</f>
        <v>0</v>
      </c>
      <c r="S106" s="267" t="str">
        <f>I119</f>
        <v>DRZYMAŁA Jadwiga</v>
      </c>
      <c r="T106" s="267" t="str">
        <f>I120</f>
        <v>GAWRON Bogdan</v>
      </c>
      <c r="U106" s="267" t="s">
        <v>46</v>
      </c>
      <c r="V106" s="130"/>
    </row>
    <row r="107" spans="1:22" ht="20.100000000000001" customHeight="1">
      <c r="A107" s="342" t="s">
        <v>88</v>
      </c>
      <c r="B107" s="102"/>
      <c r="C107" s="264" t="str">
        <f>VLOOKUP("18.",lista!B8:O39,3,FALSE)</f>
        <v>-</v>
      </c>
      <c r="D107" s="266"/>
      <c r="E107" s="84">
        <v>1</v>
      </c>
      <c r="F107" s="209"/>
      <c r="G107" s="86"/>
      <c r="K107" s="114"/>
      <c r="L107" s="33"/>
      <c r="M107" s="33"/>
      <c r="N107" s="87"/>
      <c r="O107" s="130"/>
      <c r="P107" s="191"/>
      <c r="Q107" s="191"/>
      <c r="R107" s="191"/>
      <c r="S107" s="191"/>
      <c r="T107" s="191"/>
      <c r="U107" s="191"/>
      <c r="V107" s="130"/>
    </row>
    <row r="108" spans="1:22" ht="20.100000000000001" customHeight="1">
      <c r="A108" s="342"/>
      <c r="B108" s="103"/>
      <c r="C108" s="337" t="str">
        <f>VLOOKUP("18.",lista!B8:O39,9,FALSE)</f>
        <v>-</v>
      </c>
      <c r="D108" s="338"/>
      <c r="F108" s="87"/>
      <c r="G108" s="88"/>
      <c r="H108" s="89"/>
      <c r="I108" s="90"/>
      <c r="J108" s="72"/>
      <c r="K108" s="115"/>
      <c r="L108" s="87"/>
      <c r="M108" s="96"/>
      <c r="N108" s="87"/>
      <c r="O108" s="130"/>
      <c r="P108" s="191"/>
      <c r="Q108" s="191"/>
      <c r="R108" s="191"/>
      <c r="S108" s="191"/>
      <c r="T108" s="191"/>
      <c r="U108" s="191"/>
      <c r="V108" s="130"/>
    </row>
    <row r="109" spans="1:22" ht="20.100000000000001" customHeight="1">
      <c r="A109" s="79"/>
      <c r="B109" s="117"/>
      <c r="C109" s="118"/>
      <c r="D109" s="119"/>
      <c r="F109" s="16">
        <v>7</v>
      </c>
      <c r="G109" s="94"/>
      <c r="H109" s="78"/>
      <c r="I109" s="331" t="str">
        <f>IF(H111=1,F105,IF(H111=2,F111," "))</f>
        <v>GAPSKA Krystyna</v>
      </c>
      <c r="J109" s="331"/>
      <c r="K109" s="114"/>
      <c r="L109" s="33"/>
      <c r="M109" s="33"/>
      <c r="N109" s="87"/>
      <c r="O109" s="130"/>
      <c r="P109" s="191"/>
      <c r="Q109" s="191"/>
      <c r="R109" s="191"/>
      <c r="S109" s="191"/>
      <c r="T109" s="191"/>
      <c r="U109" s="191"/>
      <c r="V109" s="130"/>
    </row>
    <row r="110" spans="1:22" ht="20.100000000000001" customHeight="1">
      <c r="A110" s="342" t="s">
        <v>89</v>
      </c>
      <c r="B110" s="83"/>
      <c r="C110" s="343" t="str">
        <f>VLOOKUP("31.",lista!B8:O39,3,FALSE)</f>
        <v>-</v>
      </c>
      <c r="D110" s="344"/>
      <c r="E110" s="95"/>
      <c r="F110" s="87"/>
      <c r="G110" s="88"/>
      <c r="H110" s="82"/>
      <c r="I110" s="329" t="str">
        <f>IF(H111=1,F106,IF(H111=2,F112," "))</f>
        <v>NOWAKOWSKI Robert</v>
      </c>
      <c r="J110" s="329"/>
      <c r="K110" s="120"/>
      <c r="L110" s="71"/>
      <c r="M110" s="109"/>
      <c r="N110" s="87"/>
    </row>
    <row r="111" spans="1:22" ht="20.100000000000001" customHeight="1">
      <c r="A111" s="342"/>
      <c r="B111" s="97"/>
      <c r="C111" s="264" t="str">
        <f>VLOOKUP("31.",lista!B8:O39,9,FALSE)</f>
        <v>-</v>
      </c>
      <c r="D111" s="265"/>
      <c r="E111" s="78"/>
      <c r="F111" s="331" t="str">
        <f>IF(E113=1,C110,IF(E113=2,C113," "))</f>
        <v>GAPSKA Krystyna</v>
      </c>
      <c r="G111" s="333"/>
      <c r="H111" s="84">
        <v>2</v>
      </c>
      <c r="I111" s="209"/>
      <c r="J111" s="121"/>
      <c r="K111" s="107"/>
      <c r="L111" s="71"/>
      <c r="M111" s="109"/>
      <c r="N111" s="87"/>
    </row>
    <row r="112" spans="1:22" ht="20.100000000000001" customHeight="1">
      <c r="A112" s="79"/>
      <c r="B112" s="128"/>
      <c r="C112" s="16"/>
      <c r="D112" s="112"/>
      <c r="E112" s="82"/>
      <c r="F112" s="329" t="str">
        <f>IF(E113=1,C111,IF(E113=2,C114," "))</f>
        <v>NOWAKOWSKI Robert</v>
      </c>
      <c r="G112" s="330"/>
      <c r="H112" s="99"/>
      <c r="I112" s="33"/>
      <c r="J112" s="122"/>
      <c r="K112" s="101"/>
      <c r="L112" s="33"/>
      <c r="M112" s="33"/>
      <c r="N112" s="87"/>
    </row>
    <row r="113" spans="1:24" ht="20.100000000000001" customHeight="1">
      <c r="A113" s="342" t="s">
        <v>54</v>
      </c>
      <c r="B113" s="129"/>
      <c r="C113" s="264" t="str">
        <f>VLOOKUP("2.",lista!B8:O39,3,FALSE)</f>
        <v>GAPSKA Krystyna</v>
      </c>
      <c r="D113" s="266"/>
      <c r="E113" s="84">
        <v>2</v>
      </c>
      <c r="F113" s="209"/>
      <c r="G113" s="85"/>
      <c r="H113" s="99"/>
      <c r="I113" s="33"/>
      <c r="J113" s="122"/>
      <c r="K113" s="101"/>
      <c r="L113" s="33"/>
      <c r="M113" s="33"/>
    </row>
    <row r="114" spans="1:24" ht="20.100000000000001" customHeight="1">
      <c r="A114" s="342"/>
      <c r="B114" s="103"/>
      <c r="C114" s="337" t="str">
        <f>VLOOKUP("2.",lista!B8:O39,9,FALSE)</f>
        <v>NOWAKOWSKI Robert</v>
      </c>
      <c r="D114" s="338"/>
      <c r="E114" s="89"/>
      <c r="F114" s="368"/>
      <c r="G114" s="274"/>
      <c r="H114" s="327" t="s">
        <v>113</v>
      </c>
      <c r="I114" s="327"/>
      <c r="J114" s="327"/>
      <c r="K114" s="369" t="s">
        <v>112</v>
      </c>
      <c r="L114" s="369"/>
      <c r="M114" s="369"/>
    </row>
    <row r="115" spans="1:24" s="124" customFormat="1" ht="20.100000000000001" customHeight="1">
      <c r="A115" s="196"/>
      <c r="B115" s="197"/>
      <c r="C115" s="133"/>
      <c r="D115" s="133"/>
      <c r="E115" s="89"/>
      <c r="F115" s="271"/>
      <c r="G115" s="274"/>
      <c r="H115" s="202"/>
      <c r="I115" s="331" t="s">
        <v>169</v>
      </c>
      <c r="J115" s="333"/>
      <c r="K115" s="276"/>
      <c r="L115" s="271"/>
      <c r="M115" s="276"/>
      <c r="P115" s="231"/>
      <c r="Q115" s="231"/>
      <c r="R115" s="231"/>
      <c r="S115" s="231"/>
      <c r="T115" s="231"/>
      <c r="U115" s="231"/>
    </row>
    <row r="116" spans="1:24" ht="20.100000000000001" customHeight="1">
      <c r="A116" s="196"/>
      <c r="B116" s="197"/>
      <c r="C116" s="133"/>
      <c r="D116" s="133"/>
      <c r="E116" s="89"/>
      <c r="F116" s="271"/>
      <c r="G116" s="328" t="s">
        <v>119</v>
      </c>
      <c r="H116" s="203"/>
      <c r="I116" s="329" t="s">
        <v>170</v>
      </c>
      <c r="J116" s="330"/>
      <c r="K116" s="275"/>
      <c r="L116" s="277"/>
      <c r="M116" s="274"/>
      <c r="N116" s="87"/>
      <c r="O116" s="124"/>
      <c r="P116" s="190"/>
      <c r="Q116" s="190"/>
      <c r="R116" s="190"/>
      <c r="S116" s="190"/>
      <c r="T116" s="190"/>
      <c r="U116" s="190"/>
      <c r="V116" s="130"/>
      <c r="W116" s="130"/>
      <c r="X116" s="130"/>
    </row>
    <row r="117" spans="1:24" s="130" customFormat="1" ht="20.100000000000001" customHeight="1">
      <c r="A117" s="79"/>
      <c r="B117" s="192"/>
      <c r="D117" s="98"/>
      <c r="E117" s="99"/>
      <c r="F117" s="272"/>
      <c r="G117" s="328"/>
      <c r="H117" s="211"/>
      <c r="I117" s="210"/>
      <c r="J117" s="86"/>
      <c r="K117" s="202"/>
      <c r="L117" s="331" t="s">
        <v>147</v>
      </c>
      <c r="M117" s="333"/>
      <c r="P117" s="126"/>
      <c r="Q117" s="127"/>
      <c r="R117" s="127"/>
      <c r="S117" s="127"/>
      <c r="T117" s="127"/>
      <c r="U117" s="127"/>
    </row>
    <row r="118" spans="1:24" s="130" customFormat="1" ht="20.100000000000001" customHeight="1">
      <c r="A118" s="79"/>
      <c r="B118" s="192"/>
      <c r="D118" s="98"/>
      <c r="E118" s="99"/>
      <c r="F118" s="273"/>
      <c r="G118" s="79"/>
      <c r="H118" s="275"/>
      <c r="I118" s="370">
        <v>3</v>
      </c>
      <c r="J118" s="278"/>
      <c r="K118" s="203"/>
      <c r="L118" s="329" t="s">
        <v>146</v>
      </c>
      <c r="M118" s="330"/>
      <c r="P118" s="126"/>
      <c r="Q118" s="127"/>
      <c r="R118" s="127"/>
      <c r="S118" s="127"/>
      <c r="T118" s="127"/>
      <c r="U118" s="127"/>
    </row>
    <row r="119" spans="1:24" s="130" customFormat="1" ht="20.100000000000001" customHeight="1">
      <c r="A119" s="79"/>
      <c r="B119" s="192"/>
      <c r="D119" s="98"/>
      <c r="E119" s="99"/>
      <c r="F119" s="273"/>
      <c r="G119" s="328" t="s">
        <v>120</v>
      </c>
      <c r="H119" s="202"/>
      <c r="I119" s="331" t="s">
        <v>147</v>
      </c>
      <c r="J119" s="333"/>
      <c r="K119" s="211"/>
      <c r="L119" s="210"/>
      <c r="M119" s="86"/>
      <c r="P119" s="126"/>
      <c r="Q119" s="127"/>
      <c r="R119" s="127"/>
      <c r="S119" s="127"/>
      <c r="T119" s="127"/>
      <c r="U119" s="127"/>
    </row>
    <row r="120" spans="1:24" s="130" customFormat="1" ht="20.100000000000001" customHeight="1">
      <c r="A120" s="79"/>
      <c r="B120" s="192"/>
      <c r="D120" s="98"/>
      <c r="E120" s="99"/>
      <c r="F120" s="273"/>
      <c r="G120" s="328"/>
      <c r="H120" s="203"/>
      <c r="I120" s="329" t="s">
        <v>146</v>
      </c>
      <c r="J120" s="330"/>
      <c r="K120" s="275"/>
      <c r="L120" s="271"/>
      <c r="M120" s="274"/>
      <c r="P120" s="126"/>
      <c r="Q120" s="127"/>
      <c r="R120" s="127"/>
      <c r="S120" s="127"/>
      <c r="T120" s="127"/>
      <c r="U120" s="127"/>
    </row>
    <row r="121" spans="1:24" s="130" customFormat="1" ht="20.100000000000001" customHeight="1">
      <c r="A121" s="260"/>
      <c r="B121" s="192"/>
      <c r="D121" s="98"/>
      <c r="E121" s="99"/>
      <c r="F121" s="133"/>
      <c r="G121" s="239"/>
      <c r="H121" s="211"/>
      <c r="I121" s="210"/>
      <c r="J121" s="86"/>
      <c r="K121" s="89"/>
      <c r="L121" s="71"/>
      <c r="M121" s="72"/>
      <c r="P121" s="126"/>
      <c r="Q121" s="127"/>
      <c r="R121" s="127"/>
      <c r="S121" s="127"/>
      <c r="T121" s="127"/>
      <c r="U121" s="127"/>
    </row>
    <row r="122" spans="1:24" s="48" customFormat="1" ht="20.100000000000001" customHeight="1">
      <c r="A122" s="263" t="str">
        <f>IF(info!C$7="","", CONCATENATE(info!B$7," ",info!C$7))</f>
        <v>Obsługa komputerowa Michał Majcher</v>
      </c>
      <c r="B122" s="60"/>
      <c r="C122" s="60"/>
      <c r="D122" s="61"/>
      <c r="E122" s="62"/>
      <c r="F122" s="60"/>
      <c r="G122" s="63"/>
      <c r="H122" s="62"/>
      <c r="I122" s="60"/>
      <c r="J122" s="63"/>
      <c r="K122" s="62"/>
      <c r="L122" s="60"/>
      <c r="M122" s="262" t="str">
        <f>IF(info!C$6="","", CONCATENATE(info!B$6," ",info!C$6))</f>
        <v>Sędzia Główny Bartosz Majcher</v>
      </c>
      <c r="P122" s="279">
        <v>999</v>
      </c>
      <c r="Q122" s="280" t="s">
        <v>46</v>
      </c>
      <c r="R122" s="280" t="s">
        <v>46</v>
      </c>
      <c r="S122" s="280" t="s">
        <v>46</v>
      </c>
      <c r="T122" s="280" t="s">
        <v>46</v>
      </c>
      <c r="U122" s="280" t="s">
        <v>46</v>
      </c>
    </row>
  </sheetData>
  <sheetProtection formatCells="0" formatColumns="0" formatRows="0"/>
  <mergeCells count="160">
    <mergeCell ref="C1:M1"/>
    <mergeCell ref="A3:M3"/>
    <mergeCell ref="B5:D5"/>
    <mergeCell ref="E5:G5"/>
    <mergeCell ref="H5:J5"/>
    <mergeCell ref="K5:M5"/>
    <mergeCell ref="I12:J12"/>
    <mergeCell ref="A13:A14"/>
    <mergeCell ref="C13:D13"/>
    <mergeCell ref="I13:J13"/>
    <mergeCell ref="F14:G14"/>
    <mergeCell ref="F15:G15"/>
    <mergeCell ref="A7:A8"/>
    <mergeCell ref="C7:D7"/>
    <mergeCell ref="C8:D8"/>
    <mergeCell ref="F8:G8"/>
    <mergeCell ref="F9:G9"/>
    <mergeCell ref="A10:A11"/>
    <mergeCell ref="C10:D10"/>
    <mergeCell ref="C11:D11"/>
    <mergeCell ref="I24:J24"/>
    <mergeCell ref="A25:A26"/>
    <mergeCell ref="C25:D25"/>
    <mergeCell ref="I25:J25"/>
    <mergeCell ref="F26:G26"/>
    <mergeCell ref="A16:A17"/>
    <mergeCell ref="C17:D17"/>
    <mergeCell ref="L18:M18"/>
    <mergeCell ref="A19:A20"/>
    <mergeCell ref="C19:D19"/>
    <mergeCell ref="F20:G20"/>
    <mergeCell ref="L19:M19"/>
    <mergeCell ref="F27:G27"/>
    <mergeCell ref="A28:A29"/>
    <mergeCell ref="C29:D29"/>
    <mergeCell ref="A31:A32"/>
    <mergeCell ref="C31:D31"/>
    <mergeCell ref="F32:G32"/>
    <mergeCell ref="F21:G21"/>
    <mergeCell ref="A22:A23"/>
    <mergeCell ref="C23:D23"/>
    <mergeCell ref="F39:G39"/>
    <mergeCell ref="A40:A41"/>
    <mergeCell ref="C41:D41"/>
    <mergeCell ref="L42:M42"/>
    <mergeCell ref="A43:A44"/>
    <mergeCell ref="C43:D43"/>
    <mergeCell ref="F44:G44"/>
    <mergeCell ref="L43:M43"/>
    <mergeCell ref="F33:G33"/>
    <mergeCell ref="A34:A35"/>
    <mergeCell ref="C35:D35"/>
    <mergeCell ref="I36:J36"/>
    <mergeCell ref="A37:A38"/>
    <mergeCell ref="C37:D37"/>
    <mergeCell ref="I37:J37"/>
    <mergeCell ref="F38:G38"/>
    <mergeCell ref="F45:G45"/>
    <mergeCell ref="A46:A47"/>
    <mergeCell ref="C47:D47"/>
    <mergeCell ref="F50:G50"/>
    <mergeCell ref="F51:G51"/>
    <mergeCell ref="C53:D53"/>
    <mergeCell ref="I48:J48"/>
    <mergeCell ref="A49:A50"/>
    <mergeCell ref="C49:D49"/>
    <mergeCell ref="I49:J49"/>
    <mergeCell ref="I73:J73"/>
    <mergeCell ref="A74:A75"/>
    <mergeCell ref="C74:D74"/>
    <mergeCell ref="I74:J74"/>
    <mergeCell ref="F75:G75"/>
    <mergeCell ref="F76:G76"/>
    <mergeCell ref="A68:A69"/>
    <mergeCell ref="C68:D68"/>
    <mergeCell ref="F69:G69"/>
    <mergeCell ref="F70:G70"/>
    <mergeCell ref="A71:A72"/>
    <mergeCell ref="C72:D72"/>
    <mergeCell ref="I85:J85"/>
    <mergeCell ref="A86:A87"/>
    <mergeCell ref="C86:D86"/>
    <mergeCell ref="I86:J86"/>
    <mergeCell ref="F87:G87"/>
    <mergeCell ref="A77:A78"/>
    <mergeCell ref="C78:D78"/>
    <mergeCell ref="L79:M79"/>
    <mergeCell ref="A80:A81"/>
    <mergeCell ref="C80:D80"/>
    <mergeCell ref="F81:G81"/>
    <mergeCell ref="L103:M103"/>
    <mergeCell ref="A104:A105"/>
    <mergeCell ref="C104:D104"/>
    <mergeCell ref="F105:G105"/>
    <mergeCell ref="F94:G94"/>
    <mergeCell ref="A95:A96"/>
    <mergeCell ref="C96:D96"/>
    <mergeCell ref="I97:J97"/>
    <mergeCell ref="A98:A99"/>
    <mergeCell ref="C98:D98"/>
    <mergeCell ref="I98:J98"/>
    <mergeCell ref="F99:G99"/>
    <mergeCell ref="L104:M104"/>
    <mergeCell ref="I55:J55"/>
    <mergeCell ref="A52:A53"/>
    <mergeCell ref="F112:G112"/>
    <mergeCell ref="A113:A114"/>
    <mergeCell ref="C114:D114"/>
    <mergeCell ref="F106:G106"/>
    <mergeCell ref="A107:A108"/>
    <mergeCell ref="C108:D108"/>
    <mergeCell ref="A110:A111"/>
    <mergeCell ref="C110:D110"/>
    <mergeCell ref="F111:G111"/>
    <mergeCell ref="A101:A102"/>
    <mergeCell ref="C102:D102"/>
    <mergeCell ref="F88:G88"/>
    <mergeCell ref="A89:A90"/>
    <mergeCell ref="C90:D90"/>
    <mergeCell ref="A92:A93"/>
    <mergeCell ref="C92:D92"/>
    <mergeCell ref="F93:G93"/>
    <mergeCell ref="J90:J91"/>
    <mergeCell ref="H114:J114"/>
    <mergeCell ref="F82:G82"/>
    <mergeCell ref="A83:A84"/>
    <mergeCell ref="C84:D84"/>
    <mergeCell ref="L91:M91"/>
    <mergeCell ref="I109:J109"/>
    <mergeCell ref="I110:J110"/>
    <mergeCell ref="F100:G100"/>
    <mergeCell ref="J29:J30"/>
    <mergeCell ref="L80:M80"/>
    <mergeCell ref="L90:M90"/>
    <mergeCell ref="L29:M29"/>
    <mergeCell ref="L30:M30"/>
    <mergeCell ref="C62:M62"/>
    <mergeCell ref="A64:M64"/>
    <mergeCell ref="L56:M56"/>
    <mergeCell ref="L57:M57"/>
    <mergeCell ref="G58:G59"/>
    <mergeCell ref="I59:J59"/>
    <mergeCell ref="I58:J58"/>
    <mergeCell ref="K53:M53"/>
    <mergeCell ref="I56:J56"/>
    <mergeCell ref="B66:D66"/>
    <mergeCell ref="E66:G66"/>
    <mergeCell ref="H66:J66"/>
    <mergeCell ref="K66:M66"/>
    <mergeCell ref="H53:J53"/>
    <mergeCell ref="G55:G56"/>
    <mergeCell ref="K114:M114"/>
    <mergeCell ref="G116:G117"/>
    <mergeCell ref="I116:J116"/>
    <mergeCell ref="L117:M117"/>
    <mergeCell ref="L118:M118"/>
    <mergeCell ref="G119:G120"/>
    <mergeCell ref="I119:J119"/>
    <mergeCell ref="I120:J120"/>
    <mergeCell ref="I115:J115"/>
  </mergeCells>
  <conditionalFormatting sqref="P1:P1048576">
    <cfRule type="duplicateValues" dxfId="0" priority="1"/>
  </conditionalFormatting>
  <printOptions horizontalCentered="1"/>
  <pageMargins left="0.39370078740157483" right="0.39370078740157483" top="0.23622047244094491" bottom="0.19685039370078741" header="0" footer="0"/>
  <pageSetup paperSize="9" scale="65" fitToHeight="0" orientation="portrait" errors="blank" r:id="rId1"/>
  <headerFooter alignWithMargins="0"/>
  <rowBreaks count="1" manualBreakCount="1">
    <brk id="61" max="16383" man="1"/>
  </rowBreaks>
  <ignoredErrors>
    <ignoredError sqref="A7 A10 A13 A16:A53 A68:A11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AD37"/>
  <sheetViews>
    <sheetView zoomScale="80" zoomScaleNormal="80" workbookViewId="0">
      <selection activeCell="AB19" sqref="AB19"/>
    </sheetView>
  </sheetViews>
  <sheetFormatPr defaultColWidth="9.140625" defaultRowHeight="12.75"/>
  <cols>
    <col min="1" max="1" width="1.7109375" style="138" customWidth="1"/>
    <col min="2" max="4" width="8.28515625" style="138" customWidth="1"/>
    <col min="5" max="5" width="7.28515625" style="138" customWidth="1"/>
    <col min="6" max="7" width="1.5703125" style="138" customWidth="1"/>
    <col min="8" max="8" width="7.28515625" style="138" customWidth="1"/>
    <col min="9" max="11" width="8.28515625" style="138" customWidth="1"/>
    <col min="12" max="12" width="1.7109375" style="138" customWidth="1"/>
    <col min="13" max="13" width="3.7109375" style="137" customWidth="1"/>
    <col min="14" max="14" width="1.7109375" style="138" customWidth="1"/>
    <col min="15" max="17" width="8.28515625" style="138" customWidth="1"/>
    <col min="18" max="18" width="7.28515625" style="138" customWidth="1"/>
    <col min="19" max="20" width="1.5703125" style="138" customWidth="1"/>
    <col min="21" max="21" width="7.28515625" style="138" customWidth="1"/>
    <col min="22" max="24" width="8.28515625" style="138" customWidth="1"/>
    <col min="25" max="26" width="1.7109375" style="138" customWidth="1"/>
    <col min="27" max="27" width="8.7109375" style="138" customWidth="1"/>
    <col min="28" max="28" width="10.7109375" style="138" customWidth="1"/>
    <col min="29" max="29" width="8.7109375" style="138" customWidth="1"/>
    <col min="30" max="16384" width="9.140625" style="138"/>
  </cols>
  <sheetData>
    <row r="1" spans="1:30" ht="6" customHeight="1">
      <c r="A1" s="134"/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6"/>
      <c r="N1" s="134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6"/>
      <c r="Z1" s="137"/>
    </row>
    <row r="2" spans="1:30" s="144" customFormat="1" ht="12" customHeight="1" thickBot="1">
      <c r="A2" s="139"/>
      <c r="B2" s="140" t="s">
        <v>90</v>
      </c>
      <c r="C2" s="141"/>
      <c r="D2" s="141"/>
      <c r="E2" s="141"/>
      <c r="F2" s="141"/>
      <c r="G2" s="141"/>
      <c r="H2" s="141"/>
      <c r="I2" s="141"/>
      <c r="J2" s="141"/>
      <c r="K2" s="142" t="s">
        <v>91</v>
      </c>
      <c r="L2" s="143"/>
      <c r="M2" s="141"/>
      <c r="N2" s="139"/>
      <c r="O2" s="140" t="s">
        <v>90</v>
      </c>
      <c r="P2" s="141"/>
      <c r="Q2" s="141"/>
      <c r="R2" s="141"/>
      <c r="S2" s="141"/>
      <c r="T2" s="141"/>
      <c r="U2" s="141"/>
      <c r="V2" s="141"/>
      <c r="W2" s="141"/>
      <c r="X2" s="142" t="s">
        <v>91</v>
      </c>
      <c r="Y2" s="143"/>
      <c r="Z2" s="141"/>
    </row>
    <row r="3" spans="1:30" ht="18" customHeight="1" thickBot="1">
      <c r="A3" s="145"/>
      <c r="B3" s="347" t="str">
        <f>AB3</f>
        <v>SENIOR</v>
      </c>
      <c r="C3" s="347"/>
      <c r="D3" s="348" t="s">
        <v>92</v>
      </c>
      <c r="E3" s="348"/>
      <c r="F3" s="348"/>
      <c r="G3" s="348"/>
      <c r="H3" s="348"/>
      <c r="I3" s="348"/>
      <c r="J3" s="356" t="str">
        <f>VLOOKUP(AB6,turniej!P6:U122,6,FALSE)</f>
        <v xml:space="preserve"> </v>
      </c>
      <c r="K3" s="356"/>
      <c r="L3" s="146"/>
      <c r="M3" s="147"/>
      <c r="N3" s="148"/>
      <c r="O3" s="347" t="str">
        <f>AB3</f>
        <v>SENIOR</v>
      </c>
      <c r="P3" s="347"/>
      <c r="Q3" s="348" t="s">
        <v>92</v>
      </c>
      <c r="R3" s="348"/>
      <c r="S3" s="348"/>
      <c r="T3" s="348"/>
      <c r="U3" s="348"/>
      <c r="V3" s="348"/>
      <c r="W3" s="356" t="e">
        <f>VLOOKUP(AB7,turniej!P6:U122,6,FALSE)</f>
        <v>#N/A</v>
      </c>
      <c r="X3" s="356"/>
      <c r="Y3" s="149"/>
      <c r="Z3" s="137"/>
      <c r="AA3" s="241" t="s">
        <v>118</v>
      </c>
      <c r="AB3" s="242" t="s">
        <v>117</v>
      </c>
    </row>
    <row r="4" spans="1:30" ht="10.5" customHeight="1">
      <c r="A4" s="145"/>
      <c r="B4" s="147"/>
      <c r="C4" s="147"/>
      <c r="D4" s="348"/>
      <c r="E4" s="348"/>
      <c r="F4" s="348"/>
      <c r="G4" s="348"/>
      <c r="H4" s="348"/>
      <c r="I4" s="348"/>
      <c r="J4" s="147"/>
      <c r="K4" s="147"/>
      <c r="L4" s="146"/>
      <c r="M4" s="147"/>
      <c r="N4" s="148"/>
      <c r="O4" s="147"/>
      <c r="P4" s="147"/>
      <c r="Q4" s="348"/>
      <c r="R4" s="348"/>
      <c r="S4" s="348"/>
      <c r="T4" s="348"/>
      <c r="U4" s="348"/>
      <c r="V4" s="348"/>
      <c r="W4" s="147"/>
      <c r="X4" s="147"/>
      <c r="Y4" s="149"/>
      <c r="Z4" s="137"/>
      <c r="AA4" s="243"/>
      <c r="AB4" s="244"/>
    </row>
    <row r="5" spans="1:30" ht="6" customHeight="1" thickBot="1">
      <c r="A5" s="145"/>
      <c r="B5" s="147"/>
      <c r="C5" s="147"/>
      <c r="D5" s="151"/>
      <c r="E5" s="151"/>
      <c r="F5" s="151"/>
      <c r="G5" s="151"/>
      <c r="H5" s="151"/>
      <c r="I5" s="151"/>
      <c r="J5" s="147"/>
      <c r="K5" s="147"/>
      <c r="L5" s="146"/>
      <c r="M5" s="147"/>
      <c r="N5" s="148"/>
      <c r="O5" s="147"/>
      <c r="P5" s="147"/>
      <c r="Q5" s="151"/>
      <c r="R5" s="151"/>
      <c r="S5" s="151"/>
      <c r="T5" s="151"/>
      <c r="U5" s="151"/>
      <c r="V5" s="151"/>
      <c r="W5" s="147"/>
      <c r="X5" s="147"/>
      <c r="Y5" s="149"/>
      <c r="Z5" s="137"/>
      <c r="AA5" s="243"/>
      <c r="AB5" s="244"/>
    </row>
    <row r="6" spans="1:30" s="157" customFormat="1" ht="23.25" customHeight="1" thickBot="1">
      <c r="A6" s="152"/>
      <c r="B6" s="223">
        <f>VLOOKUP(C6,lista!$D$8:$S$39,15,FALSE)</f>
        <v>0</v>
      </c>
      <c r="C6" s="357" t="str">
        <f>VLOOKUP(AB6,turniej!$P$6:$U$244,2,FALSE)</f>
        <v>DRZYMAŁA Jadwiga</v>
      </c>
      <c r="D6" s="357"/>
      <c r="E6" s="358"/>
      <c r="F6" s="153"/>
      <c r="G6" s="153"/>
      <c r="H6" s="223">
        <f>VLOOKUP(I6,lista!$D$8:$S$39,15,FALSE)</f>
        <v>0</v>
      </c>
      <c r="I6" s="357" t="str">
        <f>VLOOKUP(AB6,turniej!$P$6:$U$244,4,FALSE)</f>
        <v>BURACZEK Elżbieta</v>
      </c>
      <c r="J6" s="357"/>
      <c r="K6" s="358"/>
      <c r="L6" s="154"/>
      <c r="M6" s="153"/>
      <c r="N6" s="152"/>
      <c r="O6" s="223" t="e">
        <f>VLOOKUP(P6,lista!$D$8:$S$39,15,FALSE)</f>
        <v>#N/A</v>
      </c>
      <c r="P6" s="357" t="e">
        <f>VLOOKUP(AB7,turniej!$P$6:$U$244,2,FALSE)</f>
        <v>#N/A</v>
      </c>
      <c r="Q6" s="357"/>
      <c r="R6" s="358"/>
      <c r="S6" s="153"/>
      <c r="T6" s="153"/>
      <c r="U6" s="223" t="e">
        <f>VLOOKUP(V6,lista!$D$8:$S$39,15,FALSE)</f>
        <v>#N/A</v>
      </c>
      <c r="V6" s="357" t="e">
        <f>VLOOKUP(AB7,turniej!$P$6:$U$244,4,FALSE)</f>
        <v>#N/A</v>
      </c>
      <c r="W6" s="357"/>
      <c r="X6" s="358"/>
      <c r="Y6" s="155"/>
      <c r="Z6" s="153"/>
      <c r="AA6" s="245" t="s">
        <v>60</v>
      </c>
      <c r="AB6" s="269">
        <v>240</v>
      </c>
    </row>
    <row r="7" spans="1:30" s="167" customFormat="1" ht="12" customHeight="1" thickBot="1">
      <c r="A7" s="158"/>
      <c r="B7" s="205" t="s">
        <v>93</v>
      </c>
      <c r="C7" s="162"/>
      <c r="D7" s="162"/>
      <c r="E7" s="206"/>
      <c r="F7" s="162"/>
      <c r="G7" s="162"/>
      <c r="H7" s="205" t="s">
        <v>93</v>
      </c>
      <c r="I7" s="162"/>
      <c r="J7" s="162"/>
      <c r="K7" s="206"/>
      <c r="L7" s="163"/>
      <c r="M7" s="162"/>
      <c r="N7" s="164"/>
      <c r="O7" s="205" t="s">
        <v>93</v>
      </c>
      <c r="P7" s="162"/>
      <c r="Q7" s="162"/>
      <c r="R7" s="206"/>
      <c r="S7" s="162"/>
      <c r="T7" s="162"/>
      <c r="U7" s="205" t="s">
        <v>93</v>
      </c>
      <c r="V7" s="162"/>
      <c r="W7" s="162"/>
      <c r="X7" s="206"/>
      <c r="Y7" s="165"/>
      <c r="AA7" s="246" t="s">
        <v>60</v>
      </c>
      <c r="AB7" s="269"/>
      <c r="AC7" s="156"/>
      <c r="AD7" s="166"/>
    </row>
    <row r="8" spans="1:30" ht="11.25" customHeight="1" thickBot="1">
      <c r="A8" s="145"/>
      <c r="B8" s="350">
        <f>VLOOKUP(C8,lista!$J$8:$S$39,10,FALSE)</f>
        <v>0</v>
      </c>
      <c r="C8" s="352" t="str">
        <f>VLOOKUP(AB6,turniej!$P$6:$U$244,3,FALSE)</f>
        <v>GAWRON Bogdan</v>
      </c>
      <c r="D8" s="352"/>
      <c r="E8" s="353"/>
      <c r="F8" s="147"/>
      <c r="G8" s="147"/>
      <c r="H8" s="350">
        <f>VLOOKUP(I8,lista!$J$8:$S$39,10,FALSE)</f>
        <v>0</v>
      </c>
      <c r="I8" s="352" t="str">
        <f>VLOOKUP(AB6,turniej!$P$6:$U$244,5,FALSE)</f>
        <v>CIOŁEK Zbigniew</v>
      </c>
      <c r="J8" s="352"/>
      <c r="K8" s="353"/>
      <c r="L8" s="146"/>
      <c r="M8" s="147"/>
      <c r="N8" s="148"/>
      <c r="O8" s="350" t="e">
        <f>VLOOKUP(P8,lista!$J$8:$S$39,10,FALSE)</f>
        <v>#N/A</v>
      </c>
      <c r="P8" s="352" t="e">
        <f>VLOOKUP(AB7,turniej!$P$6:$U$244,3,FALSE)</f>
        <v>#N/A</v>
      </c>
      <c r="Q8" s="352"/>
      <c r="R8" s="353"/>
      <c r="S8" s="147"/>
      <c r="T8" s="147"/>
      <c r="U8" s="350" t="e">
        <f>VLOOKUP(V8,lista!$J$8:$S$39,10,FALSE)</f>
        <v>#N/A</v>
      </c>
      <c r="V8" s="352" t="e">
        <f>VLOOKUP(AB7,turniej!$P$6:$U$244,5,FALSE)</f>
        <v>#N/A</v>
      </c>
      <c r="W8" s="352"/>
      <c r="X8" s="353"/>
      <c r="Y8" s="149"/>
      <c r="Z8" s="137"/>
      <c r="AA8" s="246" t="s">
        <v>60</v>
      </c>
      <c r="AB8" s="269"/>
      <c r="AC8" s="156"/>
      <c r="AD8" s="150"/>
    </row>
    <row r="9" spans="1:30" s="157" customFormat="1" ht="13.5" customHeight="1" thickBot="1">
      <c r="A9" s="152"/>
      <c r="B9" s="351"/>
      <c r="C9" s="354"/>
      <c r="D9" s="354"/>
      <c r="E9" s="355"/>
      <c r="F9" s="168"/>
      <c r="G9" s="168"/>
      <c r="H9" s="351"/>
      <c r="I9" s="354"/>
      <c r="J9" s="354"/>
      <c r="K9" s="355"/>
      <c r="L9" s="169"/>
      <c r="M9" s="168"/>
      <c r="N9" s="170"/>
      <c r="O9" s="351"/>
      <c r="P9" s="354"/>
      <c r="Q9" s="354"/>
      <c r="R9" s="355"/>
      <c r="S9" s="168"/>
      <c r="T9" s="168"/>
      <c r="U9" s="351"/>
      <c r="V9" s="354"/>
      <c r="W9" s="354"/>
      <c r="X9" s="355"/>
      <c r="Y9" s="171"/>
      <c r="Z9" s="240"/>
      <c r="AA9" s="247" t="s">
        <v>60</v>
      </c>
      <c r="AB9" s="269"/>
    </row>
    <row r="10" spans="1:30" s="167" customFormat="1" ht="12" customHeight="1" thickBot="1">
      <c r="A10" s="158"/>
      <c r="B10" s="159" t="s">
        <v>93</v>
      </c>
      <c r="C10" s="160"/>
      <c r="D10" s="160"/>
      <c r="E10" s="161"/>
      <c r="H10" s="159" t="s">
        <v>93</v>
      </c>
      <c r="I10" s="160"/>
      <c r="J10" s="160"/>
      <c r="K10" s="161"/>
      <c r="L10" s="172"/>
      <c r="N10" s="158"/>
      <c r="O10" s="159" t="s">
        <v>93</v>
      </c>
      <c r="P10" s="160"/>
      <c r="Q10" s="160"/>
      <c r="R10" s="161"/>
      <c r="U10" s="159" t="s">
        <v>93</v>
      </c>
      <c r="V10" s="160"/>
      <c r="W10" s="160"/>
      <c r="X10" s="161"/>
      <c r="Y10" s="165"/>
      <c r="AA10" s="156"/>
      <c r="AB10" s="166"/>
      <c r="AC10" s="156"/>
      <c r="AD10" s="173"/>
    </row>
    <row r="11" spans="1:30" ht="12" customHeight="1">
      <c r="A11" s="145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74"/>
      <c r="N11" s="145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49"/>
      <c r="Z11" s="137"/>
      <c r="AA11" s="137"/>
      <c r="AB11" s="173"/>
      <c r="AC11" s="137"/>
      <c r="AD11" s="173"/>
    </row>
    <row r="12" spans="1:30" ht="12" customHeight="1">
      <c r="A12" s="145"/>
      <c r="C12" s="217" t="s">
        <v>94</v>
      </c>
      <c r="D12" s="218" t="s">
        <v>95</v>
      </c>
      <c r="E12" s="345" t="s">
        <v>96</v>
      </c>
      <c r="F12" s="345"/>
      <c r="G12" s="345" t="s">
        <v>97</v>
      </c>
      <c r="H12" s="345"/>
      <c r="I12" s="219" t="s">
        <v>98</v>
      </c>
      <c r="J12" s="217" t="s">
        <v>99</v>
      </c>
      <c r="L12" s="174"/>
      <c r="N12" s="145"/>
      <c r="P12" s="217" t="s">
        <v>94</v>
      </c>
      <c r="Q12" s="218" t="s">
        <v>95</v>
      </c>
      <c r="R12" s="345" t="s">
        <v>96</v>
      </c>
      <c r="S12" s="345"/>
      <c r="T12" s="345" t="s">
        <v>97</v>
      </c>
      <c r="U12" s="345"/>
      <c r="V12" s="219" t="s">
        <v>98</v>
      </c>
      <c r="W12" s="217" t="s">
        <v>99</v>
      </c>
      <c r="Y12" s="149"/>
      <c r="Z12" s="137"/>
      <c r="AA12" s="175"/>
      <c r="AB12" s="176"/>
      <c r="AC12" s="175"/>
      <c r="AD12" s="150"/>
    </row>
    <row r="13" spans="1:30" ht="36" customHeight="1">
      <c r="A13" s="145"/>
      <c r="C13" s="220"/>
      <c r="D13" s="183"/>
      <c r="E13" s="183"/>
      <c r="F13" s="221"/>
      <c r="G13" s="222"/>
      <c r="H13" s="222"/>
      <c r="I13" s="220"/>
      <c r="J13" s="220"/>
      <c r="L13" s="174"/>
      <c r="N13" s="145"/>
      <c r="P13" s="220"/>
      <c r="Q13" s="183"/>
      <c r="R13" s="183"/>
      <c r="S13" s="221"/>
      <c r="T13" s="222"/>
      <c r="U13" s="222"/>
      <c r="V13" s="220"/>
      <c r="W13" s="220"/>
      <c r="Y13" s="149"/>
      <c r="Z13" s="137"/>
      <c r="AB13" s="150"/>
      <c r="AC13" s="150"/>
      <c r="AD13" s="150"/>
    </row>
    <row r="14" spans="1:30" ht="21" customHeight="1" thickBot="1">
      <c r="A14" s="145"/>
      <c r="B14" s="140" t="s">
        <v>100</v>
      </c>
      <c r="C14" s="137"/>
      <c r="D14" s="137"/>
      <c r="E14" s="137"/>
      <c r="F14" s="137"/>
      <c r="G14" s="137"/>
      <c r="H14" s="137"/>
      <c r="I14" s="137"/>
      <c r="J14" s="137"/>
      <c r="K14" s="142" t="s">
        <v>101</v>
      </c>
      <c r="L14" s="174"/>
      <c r="N14" s="145"/>
      <c r="O14" s="140" t="s">
        <v>100</v>
      </c>
      <c r="P14" s="137"/>
      <c r="Q14" s="137"/>
      <c r="R14" s="137"/>
      <c r="S14" s="137"/>
      <c r="T14" s="137"/>
      <c r="U14" s="137"/>
      <c r="V14" s="137"/>
      <c r="W14" s="137"/>
      <c r="X14" s="142" t="s">
        <v>101</v>
      </c>
      <c r="Y14" s="149"/>
      <c r="Z14" s="137"/>
      <c r="AA14" s="175"/>
      <c r="AB14" s="176"/>
      <c r="AC14" s="175"/>
      <c r="AD14" s="150"/>
    </row>
    <row r="15" spans="1:30" ht="23.25" customHeight="1" thickBot="1">
      <c r="A15" s="145"/>
      <c r="B15" s="346"/>
      <c r="C15" s="346"/>
      <c r="D15" s="346"/>
      <c r="E15" s="346"/>
      <c r="F15" s="346"/>
      <c r="G15" s="346"/>
      <c r="H15" s="346"/>
      <c r="I15" s="346"/>
      <c r="J15" s="137"/>
      <c r="K15" s="177"/>
      <c r="L15" s="174"/>
      <c r="N15" s="145"/>
      <c r="O15" s="346"/>
      <c r="P15" s="346"/>
      <c r="Q15" s="346"/>
      <c r="R15" s="346"/>
      <c r="S15" s="346"/>
      <c r="T15" s="346"/>
      <c r="U15" s="346"/>
      <c r="V15" s="346"/>
      <c r="W15" s="137"/>
      <c r="X15" s="177"/>
      <c r="Y15" s="174"/>
      <c r="Z15" s="137"/>
    </row>
    <row r="16" spans="1:30" ht="9" customHeight="1">
      <c r="A16" s="145"/>
      <c r="C16" s="178"/>
      <c r="D16" s="178"/>
      <c r="F16" s="178"/>
      <c r="G16" s="178"/>
      <c r="H16" s="178"/>
      <c r="I16" s="178"/>
      <c r="J16" s="137"/>
      <c r="L16" s="174"/>
      <c r="N16" s="145"/>
      <c r="P16" s="178"/>
      <c r="Q16" s="178"/>
      <c r="S16" s="178"/>
      <c r="T16" s="178"/>
      <c r="U16" s="178"/>
      <c r="V16" s="178"/>
      <c r="W16" s="137"/>
      <c r="Y16" s="174"/>
      <c r="Z16" s="137"/>
    </row>
    <row r="17" spans="1:26" ht="24" customHeight="1">
      <c r="A17" s="145"/>
      <c r="B17" s="179" t="s">
        <v>102</v>
      </c>
      <c r="C17" s="180"/>
      <c r="D17" s="178"/>
      <c r="E17" s="181" t="s">
        <v>103</v>
      </c>
      <c r="F17" s="182"/>
      <c r="G17" s="182"/>
      <c r="H17" s="180"/>
      <c r="I17" s="178"/>
      <c r="J17" s="183"/>
      <c r="K17" s="184" t="s">
        <v>102</v>
      </c>
      <c r="L17" s="174"/>
      <c r="N17" s="145"/>
      <c r="O17" s="179" t="s">
        <v>102</v>
      </c>
      <c r="P17" s="180"/>
      <c r="Q17" s="178"/>
      <c r="R17" s="181" t="s">
        <v>103</v>
      </c>
      <c r="S17" s="182"/>
      <c r="T17" s="182"/>
      <c r="U17" s="180"/>
      <c r="V17" s="178"/>
      <c r="W17" s="183"/>
      <c r="X17" s="184" t="s">
        <v>102</v>
      </c>
      <c r="Y17" s="174"/>
      <c r="Z17" s="137"/>
    </row>
    <row r="18" spans="1:26" ht="6" customHeight="1">
      <c r="A18" s="185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7"/>
      <c r="N18" s="185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7"/>
      <c r="Z18" s="137"/>
    </row>
    <row r="19" spans="1:26" s="137" customFormat="1" ht="36" customHeight="1"/>
    <row r="20" spans="1:26" ht="6" customHeight="1">
      <c r="A20" s="134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6"/>
      <c r="N20" s="134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6"/>
      <c r="Z20" s="137"/>
    </row>
    <row r="21" spans="1:26" s="144" customFormat="1" ht="12" customHeight="1">
      <c r="A21" s="139"/>
      <c r="B21" s="140" t="s">
        <v>90</v>
      </c>
      <c r="C21" s="141"/>
      <c r="D21" s="141"/>
      <c r="E21" s="141"/>
      <c r="F21" s="141"/>
      <c r="G21" s="141"/>
      <c r="H21" s="141"/>
      <c r="I21" s="141"/>
      <c r="J21" s="141"/>
      <c r="K21" s="142" t="s">
        <v>91</v>
      </c>
      <c r="L21" s="143"/>
      <c r="M21" s="141"/>
      <c r="N21" s="139"/>
      <c r="O21" s="140" t="s">
        <v>90</v>
      </c>
      <c r="P21" s="141"/>
      <c r="Q21" s="141"/>
      <c r="R21" s="141"/>
      <c r="S21" s="141"/>
      <c r="T21" s="141"/>
      <c r="U21" s="141"/>
      <c r="V21" s="141"/>
      <c r="W21" s="141"/>
      <c r="X21" s="142" t="s">
        <v>91</v>
      </c>
      <c r="Y21" s="143"/>
      <c r="Z21" s="141"/>
    </row>
    <row r="22" spans="1:26" ht="18" customHeight="1">
      <c r="A22" s="145"/>
      <c r="B22" s="347" t="str">
        <f>AB3</f>
        <v>SENIOR</v>
      </c>
      <c r="C22" s="347"/>
      <c r="D22" s="348" t="s">
        <v>92</v>
      </c>
      <c r="E22" s="348"/>
      <c r="F22" s="348"/>
      <c r="G22" s="348"/>
      <c r="H22" s="348"/>
      <c r="I22" s="348"/>
      <c r="J22" s="349" t="e">
        <f>VLOOKUP(AB8,turniej!P6:U122,6,FALSE)</f>
        <v>#N/A</v>
      </c>
      <c r="K22" s="349"/>
      <c r="L22" s="146"/>
      <c r="M22" s="147"/>
      <c r="N22" s="148"/>
      <c r="O22" s="347" t="str">
        <f>AB3</f>
        <v>SENIOR</v>
      </c>
      <c r="P22" s="347"/>
      <c r="Q22" s="348" t="s">
        <v>92</v>
      </c>
      <c r="R22" s="348"/>
      <c r="S22" s="348"/>
      <c r="T22" s="348"/>
      <c r="U22" s="348"/>
      <c r="V22" s="348"/>
      <c r="W22" s="356" t="e">
        <f>VLOOKUP(AB9,turniej!P6:U122,6,FALSE)</f>
        <v>#N/A</v>
      </c>
      <c r="X22" s="356"/>
      <c r="Y22" s="174"/>
      <c r="Z22" s="137"/>
    </row>
    <row r="23" spans="1:26" ht="10.5" customHeight="1">
      <c r="A23" s="145"/>
      <c r="B23" s="147"/>
      <c r="C23" s="147"/>
      <c r="D23" s="348"/>
      <c r="E23" s="348"/>
      <c r="F23" s="348"/>
      <c r="G23" s="348"/>
      <c r="H23" s="348"/>
      <c r="I23" s="348"/>
      <c r="J23" s="147"/>
      <c r="K23" s="147"/>
      <c r="L23" s="146"/>
      <c r="M23" s="147"/>
      <c r="N23" s="148"/>
      <c r="O23" s="147"/>
      <c r="P23" s="147"/>
      <c r="Q23" s="348"/>
      <c r="R23" s="348"/>
      <c r="S23" s="348"/>
      <c r="T23" s="348"/>
      <c r="U23" s="348"/>
      <c r="V23" s="348"/>
      <c r="W23" s="147"/>
      <c r="X23" s="147"/>
      <c r="Y23" s="174"/>
      <c r="Z23" s="137"/>
    </row>
    <row r="24" spans="1:26" ht="6" customHeight="1" thickBot="1">
      <c r="A24" s="145"/>
      <c r="B24" s="147"/>
      <c r="C24" s="147"/>
      <c r="D24" s="151"/>
      <c r="E24" s="151"/>
      <c r="F24" s="151"/>
      <c r="G24" s="151"/>
      <c r="H24" s="151"/>
      <c r="I24" s="151"/>
      <c r="J24" s="147"/>
      <c r="K24" s="147"/>
      <c r="L24" s="146"/>
      <c r="M24" s="147"/>
      <c r="N24" s="148"/>
      <c r="O24" s="147"/>
      <c r="P24" s="147"/>
      <c r="Q24" s="151"/>
      <c r="R24" s="151"/>
      <c r="S24" s="151"/>
      <c r="T24" s="151"/>
      <c r="U24" s="151"/>
      <c r="V24" s="151"/>
      <c r="W24" s="147"/>
      <c r="X24" s="147"/>
      <c r="Y24" s="174"/>
      <c r="Z24" s="137"/>
    </row>
    <row r="25" spans="1:26" s="157" customFormat="1" ht="23.25" customHeight="1">
      <c r="A25" s="152"/>
      <c r="B25" s="223" t="e">
        <f>VLOOKUP(C25,lista!$D$8:$S$39,15,FALSE)</f>
        <v>#N/A</v>
      </c>
      <c r="C25" s="357" t="e">
        <f>VLOOKUP(AB8,turniej!$P$6:$U$244,2,FALSE)</f>
        <v>#N/A</v>
      </c>
      <c r="D25" s="357"/>
      <c r="E25" s="358"/>
      <c r="F25" s="153"/>
      <c r="G25" s="153"/>
      <c r="H25" s="223" t="e">
        <f>VLOOKUP(I25,lista!$D$8:$S$39,15,FALSE)</f>
        <v>#N/A</v>
      </c>
      <c r="I25" s="357" t="e">
        <f>VLOOKUP(AB8,turniej!$P$6:$U$244,4,FALSE)</f>
        <v>#N/A</v>
      </c>
      <c r="J25" s="357"/>
      <c r="K25" s="358"/>
      <c r="L25" s="154"/>
      <c r="M25" s="168"/>
      <c r="N25" s="152"/>
      <c r="O25" s="223" t="e">
        <f>VLOOKUP(P25,lista!$D$8:$S$39,15,FALSE)</f>
        <v>#N/A</v>
      </c>
      <c r="P25" s="357" t="e">
        <f>VLOOKUP(AB9,turniej!$P$6:$U$244,2,FALSE)</f>
        <v>#N/A</v>
      </c>
      <c r="Q25" s="357"/>
      <c r="R25" s="358"/>
      <c r="S25" s="153"/>
      <c r="T25" s="153"/>
      <c r="U25" s="223" t="e">
        <f>VLOOKUP(V25,lista!$D$8:$S$39,15,FALSE)</f>
        <v>#N/A</v>
      </c>
      <c r="V25" s="357" t="e">
        <f>VLOOKUP(AB9,turniej!$P$6:$U$244,4,FALSE)</f>
        <v>#N/A</v>
      </c>
      <c r="W25" s="357"/>
      <c r="X25" s="358"/>
      <c r="Y25" s="154"/>
      <c r="Z25" s="153"/>
    </row>
    <row r="26" spans="1:26" s="167" customFormat="1" ht="12" customHeight="1" thickBot="1">
      <c r="A26" s="188"/>
      <c r="B26" s="205" t="s">
        <v>93</v>
      </c>
      <c r="C26" s="162"/>
      <c r="D26" s="162"/>
      <c r="E26" s="206"/>
      <c r="F26" s="162"/>
      <c r="G26" s="162"/>
      <c r="H26" s="205" t="s">
        <v>93</v>
      </c>
      <c r="I26" s="162"/>
      <c r="J26" s="162"/>
      <c r="K26" s="206"/>
      <c r="L26" s="163"/>
      <c r="M26" s="162"/>
      <c r="N26" s="164"/>
      <c r="O26" s="205" t="s">
        <v>93</v>
      </c>
      <c r="P26" s="162"/>
      <c r="Q26" s="162"/>
      <c r="R26" s="206"/>
      <c r="S26" s="162"/>
      <c r="T26" s="162"/>
      <c r="U26" s="205" t="s">
        <v>93</v>
      </c>
      <c r="V26" s="162"/>
      <c r="W26" s="162"/>
      <c r="X26" s="206"/>
      <c r="Y26" s="172"/>
    </row>
    <row r="27" spans="1:26" ht="10.5" customHeight="1">
      <c r="A27" s="145"/>
      <c r="B27" s="350" t="e">
        <f>VLOOKUP(C27,lista!$J$8:$S$39,10,FALSE)</f>
        <v>#N/A</v>
      </c>
      <c r="C27" s="352" t="e">
        <f>VLOOKUP(AB8,turniej!$P$6:$U$244,3,FALSE)</f>
        <v>#N/A</v>
      </c>
      <c r="D27" s="352"/>
      <c r="E27" s="353"/>
      <c r="F27" s="147"/>
      <c r="G27" s="147"/>
      <c r="H27" s="350" t="e">
        <f>VLOOKUP(I27,lista!$J$8:$S$39,10,FALSE)</f>
        <v>#N/A</v>
      </c>
      <c r="I27" s="352" t="e">
        <f>VLOOKUP(AB8,turniej!$P$6:$U$244,5,FALSE)</f>
        <v>#N/A</v>
      </c>
      <c r="J27" s="352"/>
      <c r="K27" s="353"/>
      <c r="L27" s="146"/>
      <c r="M27" s="147"/>
      <c r="N27" s="148"/>
      <c r="O27" s="350" t="e">
        <f>VLOOKUP(P27,lista!$J$8:$S$39,10,FALSE)</f>
        <v>#N/A</v>
      </c>
      <c r="P27" s="352" t="e">
        <f>VLOOKUP(AB9,turniej!$P$6:$U$244,3,FALSE)</f>
        <v>#N/A</v>
      </c>
      <c r="Q27" s="352"/>
      <c r="R27" s="353"/>
      <c r="S27" s="147"/>
      <c r="T27" s="147"/>
      <c r="U27" s="350" t="e">
        <f>VLOOKUP(V27,lista!$J$8:$S$39,10,FALSE)</f>
        <v>#N/A</v>
      </c>
      <c r="V27" s="352" t="e">
        <f>VLOOKUP(AB9,turniej!$P$6:$U$244,5,FALSE)</f>
        <v>#N/A</v>
      </c>
      <c r="W27" s="352"/>
      <c r="X27" s="353"/>
      <c r="Y27" s="174"/>
      <c r="Z27" s="137"/>
    </row>
    <row r="28" spans="1:26" s="157" customFormat="1" ht="18" customHeight="1" thickBot="1">
      <c r="A28" s="152"/>
      <c r="B28" s="351"/>
      <c r="C28" s="354"/>
      <c r="D28" s="354"/>
      <c r="E28" s="355"/>
      <c r="F28" s="168"/>
      <c r="G28" s="168"/>
      <c r="H28" s="351"/>
      <c r="I28" s="354"/>
      <c r="J28" s="354"/>
      <c r="K28" s="355"/>
      <c r="L28" s="169"/>
      <c r="M28" s="168"/>
      <c r="N28" s="170"/>
      <c r="O28" s="351"/>
      <c r="P28" s="354"/>
      <c r="Q28" s="354"/>
      <c r="R28" s="355"/>
      <c r="S28" s="168"/>
      <c r="T28" s="168"/>
      <c r="U28" s="351"/>
      <c r="V28" s="354"/>
      <c r="W28" s="354"/>
      <c r="X28" s="355"/>
      <c r="Y28" s="189"/>
      <c r="Z28" s="240"/>
    </row>
    <row r="29" spans="1:26" s="167" customFormat="1" ht="12" customHeight="1" thickBot="1">
      <c r="A29" s="158"/>
      <c r="B29" s="159" t="s">
        <v>93</v>
      </c>
      <c r="C29" s="160"/>
      <c r="D29" s="160"/>
      <c r="E29" s="161"/>
      <c r="H29" s="159" t="s">
        <v>93</v>
      </c>
      <c r="I29" s="160"/>
      <c r="J29" s="160"/>
      <c r="K29" s="161"/>
      <c r="L29" s="172"/>
      <c r="N29" s="158"/>
      <c r="O29" s="159" t="s">
        <v>93</v>
      </c>
      <c r="P29" s="160"/>
      <c r="Q29" s="160"/>
      <c r="R29" s="161"/>
      <c r="U29" s="159" t="s">
        <v>93</v>
      </c>
      <c r="V29" s="160"/>
      <c r="W29" s="160"/>
      <c r="X29" s="161"/>
      <c r="Y29" s="172"/>
    </row>
    <row r="30" spans="1:26" ht="12" customHeight="1">
      <c r="A30" s="145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74"/>
      <c r="N30" s="145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74"/>
      <c r="Z30" s="137"/>
    </row>
    <row r="31" spans="1:26" ht="12" customHeight="1">
      <c r="A31" s="145"/>
      <c r="C31" s="217" t="s">
        <v>94</v>
      </c>
      <c r="D31" s="218" t="s">
        <v>95</v>
      </c>
      <c r="E31" s="345" t="s">
        <v>96</v>
      </c>
      <c r="F31" s="345"/>
      <c r="G31" s="345" t="s">
        <v>97</v>
      </c>
      <c r="H31" s="345"/>
      <c r="I31" s="219" t="s">
        <v>98</v>
      </c>
      <c r="J31" s="217" t="s">
        <v>99</v>
      </c>
      <c r="L31" s="174"/>
      <c r="N31" s="145"/>
      <c r="P31" s="217" t="s">
        <v>94</v>
      </c>
      <c r="Q31" s="218" t="s">
        <v>95</v>
      </c>
      <c r="R31" s="345" t="s">
        <v>96</v>
      </c>
      <c r="S31" s="345"/>
      <c r="T31" s="345" t="s">
        <v>97</v>
      </c>
      <c r="U31" s="345"/>
      <c r="V31" s="219" t="s">
        <v>98</v>
      </c>
      <c r="W31" s="217" t="s">
        <v>99</v>
      </c>
      <c r="Y31" s="174"/>
      <c r="Z31" s="137"/>
    </row>
    <row r="32" spans="1:26" ht="36" customHeight="1">
      <c r="A32" s="145"/>
      <c r="C32" s="220"/>
      <c r="D32" s="183"/>
      <c r="E32" s="183"/>
      <c r="F32" s="221"/>
      <c r="G32" s="222"/>
      <c r="H32" s="222"/>
      <c r="I32" s="220"/>
      <c r="J32" s="220"/>
      <c r="L32" s="174"/>
      <c r="N32" s="145"/>
      <c r="P32" s="220"/>
      <c r="Q32" s="183"/>
      <c r="R32" s="183"/>
      <c r="S32" s="221"/>
      <c r="T32" s="222"/>
      <c r="U32" s="222"/>
      <c r="V32" s="220"/>
      <c r="W32" s="220"/>
      <c r="Y32" s="174"/>
      <c r="Z32" s="137"/>
    </row>
    <row r="33" spans="1:26" ht="21" customHeight="1" thickBot="1">
      <c r="A33" s="145"/>
      <c r="B33" s="140" t="s">
        <v>100</v>
      </c>
      <c r="C33" s="137"/>
      <c r="D33" s="137"/>
      <c r="E33" s="137"/>
      <c r="F33" s="137"/>
      <c r="G33" s="137"/>
      <c r="H33" s="137"/>
      <c r="I33" s="137"/>
      <c r="J33" s="137"/>
      <c r="K33" s="142" t="s">
        <v>101</v>
      </c>
      <c r="L33" s="174"/>
      <c r="N33" s="145"/>
      <c r="O33" s="140" t="s">
        <v>100</v>
      </c>
      <c r="P33" s="137"/>
      <c r="Q33" s="137"/>
      <c r="R33" s="137"/>
      <c r="S33" s="137"/>
      <c r="T33" s="137"/>
      <c r="U33" s="137"/>
      <c r="V33" s="137"/>
      <c r="W33" s="137"/>
      <c r="X33" s="142" t="s">
        <v>101</v>
      </c>
      <c r="Y33" s="174"/>
      <c r="Z33" s="137"/>
    </row>
    <row r="34" spans="1:26" ht="23.25" customHeight="1" thickBot="1">
      <c r="A34" s="145"/>
      <c r="B34" s="346"/>
      <c r="C34" s="346"/>
      <c r="D34" s="346"/>
      <c r="E34" s="346"/>
      <c r="F34" s="346"/>
      <c r="G34" s="346"/>
      <c r="H34" s="346"/>
      <c r="I34" s="346"/>
      <c r="J34" s="137"/>
      <c r="K34" s="177"/>
      <c r="L34" s="174"/>
      <c r="N34" s="145"/>
      <c r="O34" s="346"/>
      <c r="P34" s="346"/>
      <c r="Q34" s="346"/>
      <c r="R34" s="346"/>
      <c r="S34" s="346"/>
      <c r="T34" s="346"/>
      <c r="U34" s="346"/>
      <c r="V34" s="346"/>
      <c r="W34" s="137"/>
      <c r="X34" s="177"/>
      <c r="Y34" s="174"/>
      <c r="Z34" s="137"/>
    </row>
    <row r="35" spans="1:26" ht="9" customHeight="1">
      <c r="A35" s="145"/>
      <c r="C35" s="178"/>
      <c r="D35" s="178"/>
      <c r="F35" s="178"/>
      <c r="G35" s="178"/>
      <c r="H35" s="178"/>
      <c r="I35" s="178"/>
      <c r="J35" s="137"/>
      <c r="L35" s="174"/>
      <c r="N35" s="145"/>
      <c r="P35" s="178"/>
      <c r="Q35" s="178"/>
      <c r="S35" s="178"/>
      <c r="T35" s="178"/>
      <c r="U35" s="178"/>
      <c r="V35" s="178"/>
      <c r="W35" s="137"/>
      <c r="Y35" s="174"/>
      <c r="Z35" s="137"/>
    </row>
    <row r="36" spans="1:26" ht="24" customHeight="1">
      <c r="A36" s="145"/>
      <c r="B36" s="179" t="s">
        <v>102</v>
      </c>
      <c r="C36" s="180"/>
      <c r="D36" s="178"/>
      <c r="E36" s="181" t="s">
        <v>103</v>
      </c>
      <c r="F36" s="182"/>
      <c r="G36" s="182"/>
      <c r="H36" s="180"/>
      <c r="I36" s="178"/>
      <c r="J36" s="183"/>
      <c r="K36" s="184" t="s">
        <v>102</v>
      </c>
      <c r="L36" s="174"/>
      <c r="N36" s="145"/>
      <c r="O36" s="179" t="s">
        <v>102</v>
      </c>
      <c r="P36" s="180"/>
      <c r="Q36" s="178"/>
      <c r="R36" s="181" t="s">
        <v>103</v>
      </c>
      <c r="S36" s="182"/>
      <c r="T36" s="182"/>
      <c r="U36" s="180"/>
      <c r="V36" s="178"/>
      <c r="W36" s="183"/>
      <c r="X36" s="184" t="s">
        <v>102</v>
      </c>
      <c r="Y36" s="174"/>
      <c r="Z36" s="137"/>
    </row>
    <row r="37" spans="1:26" ht="6" customHeight="1">
      <c r="A37" s="185"/>
      <c r="B37" s="186"/>
      <c r="C37" s="186"/>
      <c r="D37" s="186"/>
      <c r="E37" s="186"/>
      <c r="F37" s="186"/>
      <c r="G37" s="186"/>
      <c r="H37" s="186"/>
      <c r="I37" s="186"/>
      <c r="J37" s="186"/>
      <c r="K37" s="186"/>
      <c r="L37" s="187"/>
      <c r="N37" s="185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7"/>
      <c r="Z37" s="137"/>
    </row>
  </sheetData>
  <sheetProtection password="CBEB" sheet="1" formatCells="0" formatColumns="0" formatRows="0" insertColumns="0" insertRows="0"/>
  <mergeCells count="48">
    <mergeCell ref="P27:R28"/>
    <mergeCell ref="P8:R9"/>
    <mergeCell ref="U8:U9"/>
    <mergeCell ref="V8:X9"/>
    <mergeCell ref="C25:E25"/>
    <mergeCell ref="I25:K25"/>
    <mergeCell ref="P25:R25"/>
    <mergeCell ref="V25:X25"/>
    <mergeCell ref="O22:P22"/>
    <mergeCell ref="Q22:V23"/>
    <mergeCell ref="E12:F12"/>
    <mergeCell ref="G12:H12"/>
    <mergeCell ref="R12:S12"/>
    <mergeCell ref="T12:U12"/>
    <mergeCell ref="W22:X22"/>
    <mergeCell ref="B15:I15"/>
    <mergeCell ref="O15:V15"/>
    <mergeCell ref="B8:B9"/>
    <mergeCell ref="C8:E9"/>
    <mergeCell ref="H8:H9"/>
    <mergeCell ref="I8:K9"/>
    <mergeCell ref="O8:O9"/>
    <mergeCell ref="W3:X3"/>
    <mergeCell ref="C6:E6"/>
    <mergeCell ref="I6:K6"/>
    <mergeCell ref="P6:R6"/>
    <mergeCell ref="V6:X6"/>
    <mergeCell ref="B3:C3"/>
    <mergeCell ref="D3:I4"/>
    <mergeCell ref="J3:K3"/>
    <mergeCell ref="O3:P3"/>
    <mergeCell ref="Q3:V4"/>
    <mergeCell ref="R31:S31"/>
    <mergeCell ref="T31:U31"/>
    <mergeCell ref="B34:I34"/>
    <mergeCell ref="O34:V34"/>
    <mergeCell ref="B22:C22"/>
    <mergeCell ref="D22:I23"/>
    <mergeCell ref="J22:K22"/>
    <mergeCell ref="E31:F31"/>
    <mergeCell ref="G31:H31"/>
    <mergeCell ref="U27:U28"/>
    <mergeCell ref="V27:X28"/>
    <mergeCell ref="B27:B28"/>
    <mergeCell ref="C27:E28"/>
    <mergeCell ref="H27:H28"/>
    <mergeCell ref="I27:K28"/>
    <mergeCell ref="O27:O28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firstPageNumber="0" orientation="landscape" blackAndWhite="1" errors="blank" r:id="rId1"/>
  <headerFooter alignWithMargins="0"/>
  <colBreaks count="1" manualBreakCount="1">
    <brk id="13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03"/>
  <sheetViews>
    <sheetView zoomScale="70" zoomScaleNormal="70" workbookViewId="0">
      <selection activeCell="G11" sqref="G11"/>
    </sheetView>
  </sheetViews>
  <sheetFormatPr defaultColWidth="9.140625" defaultRowHeight="12.75"/>
  <cols>
    <col min="1" max="1" width="7.42578125" style="22" customWidth="1"/>
    <col min="2" max="2" width="7.42578125" style="23" customWidth="1"/>
    <col min="3" max="3" width="7.85546875" style="24" customWidth="1"/>
    <col min="4" max="4" width="35.85546875" style="25" customWidth="1"/>
    <col min="5" max="5" width="41.7109375" style="25" customWidth="1"/>
    <col min="6" max="6" width="7.85546875" style="24" customWidth="1"/>
    <col min="7" max="7" width="35.85546875" style="25" customWidth="1"/>
    <col min="8" max="8" width="40.85546875" style="25" customWidth="1"/>
    <col min="9" max="9" width="7.42578125" style="22" customWidth="1"/>
    <col min="10" max="16384" width="9.140625" style="22"/>
  </cols>
  <sheetData>
    <row r="1" spans="1:9" ht="43.5" customHeight="1">
      <c r="A1" s="21"/>
      <c r="B1" s="359" t="str">
        <f>IF(info!C3="","",CONCATENATE(info!C3,", ",info!C4," ",info!C5))</f>
        <v>64. Mistrzostwa Polski Kolejarzy, Suchedniów 21-23.04.2023r.</v>
      </c>
      <c r="C1" s="359"/>
      <c r="D1" s="359"/>
      <c r="E1" s="359"/>
      <c r="F1" s="359"/>
      <c r="G1" s="359"/>
      <c r="H1" s="359"/>
      <c r="I1" s="359"/>
    </row>
    <row r="2" spans="1:9" ht="20.100000000000001" customHeight="1"/>
    <row r="3" spans="1:9" ht="28.5" customHeight="1">
      <c r="A3" s="324" t="str">
        <f>CONCATENATE(IF(info!C8="","",info!C8)," - klasyfikacja końcowa")</f>
        <v>GRA MIESZANA - klasyfikacja końcowa</v>
      </c>
      <c r="B3" s="324"/>
      <c r="C3" s="324"/>
      <c r="D3" s="324"/>
      <c r="E3" s="324"/>
      <c r="F3" s="324"/>
      <c r="G3" s="324"/>
      <c r="H3" s="324"/>
      <c r="I3" s="324"/>
    </row>
    <row r="4" spans="1:9" s="27" customFormat="1" ht="20.100000000000001" customHeight="1">
      <c r="A4" s="325"/>
      <c r="B4" s="326"/>
      <c r="C4" s="326"/>
      <c r="D4" s="326"/>
      <c r="E4" s="326"/>
      <c r="F4" s="326"/>
      <c r="G4" s="326"/>
      <c r="H4" s="326"/>
      <c r="I4" s="326"/>
    </row>
    <row r="5" spans="1:9" ht="20.100000000000001" customHeight="1"/>
    <row r="6" spans="1:9" ht="20.100000000000001" customHeight="1">
      <c r="A6" s="28"/>
      <c r="B6" s="29" t="s">
        <v>56</v>
      </c>
      <c r="C6" s="30" t="s">
        <v>108</v>
      </c>
      <c r="D6" s="29" t="s">
        <v>2</v>
      </c>
      <c r="E6" s="29" t="s">
        <v>33</v>
      </c>
      <c r="F6" s="30" t="s">
        <v>108</v>
      </c>
      <c r="G6" s="29" t="s">
        <v>2</v>
      </c>
      <c r="H6" s="29" t="s">
        <v>33</v>
      </c>
      <c r="I6" s="28"/>
    </row>
    <row r="7" spans="1:9" ht="20.100000000000001" customHeight="1"/>
    <row r="8" spans="1:9" ht="19.5" customHeight="1">
      <c r="B8" s="31" t="s">
        <v>1</v>
      </c>
      <c r="C8" s="254">
        <f>VLOOKUP(D8,lista!$D$8:$S$39,15,FALSE)</f>
        <v>0</v>
      </c>
      <c r="D8" s="255" t="str">
        <f>turniej!L56</f>
        <v>KASPRZAK Natalia</v>
      </c>
      <c r="E8" s="256">
        <f>VLOOKUP(D8,lista!D$8:S$39,4,FALSE)</f>
        <v>0</v>
      </c>
      <c r="F8" s="254">
        <f>VLOOKUP(G8,lista!$J$8:$S$39,10,FALSE)</f>
        <v>0</v>
      </c>
      <c r="G8" s="257" t="str">
        <f>turniej!L57</f>
        <v>PAWŁOWSKI Stanisław</v>
      </c>
      <c r="H8" s="256">
        <f>VLOOKUP(G8,lista!J$8:S$39,4,FALSE)</f>
        <v>0</v>
      </c>
    </row>
    <row r="9" spans="1:9" ht="19.5" customHeight="1">
      <c r="B9" s="31" t="s">
        <v>0</v>
      </c>
      <c r="C9" s="254">
        <f>VLOOKUP(D9,lista!$D$8:$S$39,15,FALSE)</f>
        <v>0</v>
      </c>
      <c r="D9" s="255" t="str">
        <f>IF(turniej!K58=2,turniej!I55,IF(turniej!K58=1,turniej!I58," "))</f>
        <v>BURACZEK Elżbieta</v>
      </c>
      <c r="E9" s="256">
        <f>VLOOKUP(D9,lista!D$8:S$39,4,FALSE)</f>
        <v>0</v>
      </c>
      <c r="F9" s="254">
        <f>VLOOKUP(G9,lista!$J$8:$S$39,10,FALSE)</f>
        <v>0</v>
      </c>
      <c r="G9" s="255" t="str">
        <f>IF(turniej!K58=2,turniej!I56,IF(turniej!K58=1,turniej!I59," "))</f>
        <v>CIOŁEK Zbigniew</v>
      </c>
      <c r="H9" s="256">
        <f>VLOOKUP(G9,lista!J$8:S$39,4,FALSE)</f>
        <v>0</v>
      </c>
    </row>
    <row r="10" spans="1:9" ht="19.5" customHeight="1">
      <c r="B10" s="31" t="s">
        <v>3</v>
      </c>
      <c r="C10" s="254">
        <f>VLOOKUP(D10,lista!$D$8:$S$39,15,FALSE)</f>
        <v>0</v>
      </c>
      <c r="D10" s="268" t="str">
        <f>turniej!L117</f>
        <v>DRZYMAŁA Jadwiga</v>
      </c>
      <c r="E10" s="256">
        <f>VLOOKUP(D10,lista!D$8:S$39,4,FALSE)</f>
        <v>0</v>
      </c>
      <c r="F10" s="254">
        <f>VLOOKUP(G10,lista!$J$8:$S$39,10,FALSE)</f>
        <v>0</v>
      </c>
      <c r="G10" s="268" t="str">
        <f>turniej!L118</f>
        <v>GAWRON Bogdan</v>
      </c>
      <c r="H10" s="256">
        <f>VLOOKUP(G10,lista!J$8:S$39,4,FALSE)</f>
        <v>0</v>
      </c>
    </row>
    <row r="11" spans="1:9" ht="19.5" customHeight="1">
      <c r="B11" s="31" t="s">
        <v>4</v>
      </c>
      <c r="C11" s="254">
        <f>VLOOKUP(D11,lista!$D$8:$S$39,15,FALSE)</f>
        <v>0</v>
      </c>
      <c r="D11" s="268" t="s">
        <v>143</v>
      </c>
      <c r="E11" s="256">
        <f>VLOOKUP(D11,lista!D$8:S$39,4,FALSE)</f>
        <v>0</v>
      </c>
      <c r="F11" s="254">
        <f>VLOOKUP(G11,lista!$J$8:$S$39,10,FALSE)</f>
        <v>0</v>
      </c>
      <c r="G11" s="268" t="s">
        <v>170</v>
      </c>
      <c r="H11" s="256">
        <f>VLOOKUP(G11,lista!J$8:S$39,4,FALSE)</f>
        <v>0</v>
      </c>
    </row>
    <row r="12" spans="1:9" ht="19.5" customHeight="1">
      <c r="B12" s="31" t="s">
        <v>47</v>
      </c>
      <c r="C12" s="254">
        <f>VLOOKUP(D12,lista!$D$8:$S$39,15,FALSE)</f>
        <v>0</v>
      </c>
      <c r="D12" s="255" t="str">
        <f>IF(turniej!K20=2,turniej!I12,IF(turniej!K20=1,turniej!I24," "))</f>
        <v>CIEŚLIK Małgorzata</v>
      </c>
      <c r="E12" s="256">
        <f>VLOOKUP(D12,lista!D$8:S$39,4,FALSE)</f>
        <v>0</v>
      </c>
      <c r="F12" s="254">
        <f>VLOOKUP(G12,lista!$J$8:$S$39,10,FALSE)</f>
        <v>0</v>
      </c>
      <c r="G12" s="255" t="str">
        <f>IF(turniej!K20=2,turniej!I13,IF(turniej!K20=1,turniej!I25," "))</f>
        <v>PAŁĘGA Józef</v>
      </c>
      <c r="H12" s="256">
        <f>VLOOKUP(G12,lista!J$8:S$39,4,FALSE)</f>
        <v>0</v>
      </c>
    </row>
    <row r="13" spans="1:9" ht="19.5" customHeight="1">
      <c r="B13" s="31"/>
      <c r="C13" s="254">
        <f>VLOOKUP(D13,lista!$D$8:$S$39,15,FALSE)</f>
        <v>0</v>
      </c>
      <c r="D13" s="255" t="str">
        <f>IF(turniej!K44=2,turniej!I36,IF(turniej!K44=1,turniej!I48," "))</f>
        <v>GRAŚ Anna</v>
      </c>
      <c r="E13" s="256">
        <f>VLOOKUP(D13,lista!D$8:S$39,4,FALSE)</f>
        <v>0</v>
      </c>
      <c r="F13" s="254">
        <f>VLOOKUP(G13,lista!$J$8:$S$39,10,FALSE)</f>
        <v>0</v>
      </c>
      <c r="G13" s="255" t="str">
        <f>IF(turniej!K44=2,turniej!I37,IF(turniej!K44=1,turniej!I49," "))</f>
        <v>RATAJCZAK Janusz</v>
      </c>
      <c r="H13" s="256">
        <f>VLOOKUP(G13,lista!J$8:S$39,4,FALSE)</f>
        <v>0</v>
      </c>
    </row>
    <row r="14" spans="1:9" ht="19.5" customHeight="1">
      <c r="B14" s="31"/>
      <c r="C14" s="254">
        <f>VLOOKUP(D14,lista!$D$8:$S$39,15,FALSE)</f>
        <v>0</v>
      </c>
      <c r="D14" s="255" t="str">
        <f>IF(turniej!K81=2,turniej!I73,IF(turniej!K81=1,turniej!I85," "))</f>
        <v>WRONA Monika</v>
      </c>
      <c r="E14" s="256">
        <f>VLOOKUP(D14,lista!D$8:S$39,4,FALSE)</f>
        <v>0</v>
      </c>
      <c r="F14" s="254">
        <f>VLOOKUP(G14,lista!$J$8:$S$39,10,FALSE)</f>
        <v>0</v>
      </c>
      <c r="G14" s="255" t="str">
        <f>IF(turniej!K81=2,turniej!I74,IF(turniej!K81=1,turniej!I86," "))</f>
        <v>KOSSAK Bartosz</v>
      </c>
      <c r="H14" s="256">
        <f>VLOOKUP(G14,lista!J$8:S$39,4,FALSE)</f>
        <v>0</v>
      </c>
    </row>
    <row r="15" spans="1:9" ht="19.5" customHeight="1">
      <c r="B15" s="31"/>
      <c r="C15" s="254">
        <f>VLOOKUP(D15,lista!$D$8:$S$39,15,FALSE)</f>
        <v>0</v>
      </c>
      <c r="D15" s="255" t="str">
        <f>IF(turniej!K105=2,turniej!I97,IF(turniej!K105=1,turniej!I109," "))</f>
        <v>GAPSKA Krystyna</v>
      </c>
      <c r="E15" s="256">
        <f>VLOOKUP(D15,lista!D$8:S$39,4,FALSE)</f>
        <v>0</v>
      </c>
      <c r="F15" s="254">
        <f>VLOOKUP(G15,lista!$J$8:$S$39,10,FALSE)</f>
        <v>0</v>
      </c>
      <c r="G15" s="255" t="str">
        <f>IF(turniej!K105=2,turniej!I98,IF(turniej!K105=1,turniej!I110," "))</f>
        <v>NOWAKOWSKI Robert</v>
      </c>
      <c r="H15" s="256">
        <f>VLOOKUP(G15,lista!J$8:S$39,4,FALSE)</f>
        <v>0</v>
      </c>
    </row>
    <row r="16" spans="1:9" ht="19.5" customHeight="1">
      <c r="B16" s="31" t="s">
        <v>48</v>
      </c>
      <c r="C16" s="254">
        <f>VLOOKUP(D16,lista!$D$8:$S$39,15,FALSE)</f>
        <v>0</v>
      </c>
      <c r="D16" s="255" t="str">
        <f>IF(turniej!H14=2,turniej!F8,IF(turniej!H14=1,turniej!F14," "))</f>
        <v>URBAŃCZYK Mariola</v>
      </c>
      <c r="E16" s="256">
        <f>VLOOKUP(D16,lista!D$8:S$39,4,FALSE)</f>
        <v>0</v>
      </c>
      <c r="F16" s="254">
        <f>VLOOKUP(G16,lista!$J$8:$S$39,10,FALSE)</f>
        <v>0</v>
      </c>
      <c r="G16" s="255" t="str">
        <f>IF(turniej!H14=2,turniej!F9,IF(turniej!H14=1,turniej!F15," "))</f>
        <v>URBAŃCZYK Piotr</v>
      </c>
      <c r="H16" s="256">
        <f>VLOOKUP(G16,lista!J$8:S$39,4,FALSE)</f>
        <v>0</v>
      </c>
    </row>
    <row r="17" spans="2:8" ht="19.5" customHeight="1">
      <c r="B17" s="31"/>
      <c r="C17" s="254">
        <f>VLOOKUP(D17,lista!$D$8:$S$39,15,FALSE)</f>
        <v>0</v>
      </c>
      <c r="D17" s="255" t="str">
        <f>IF(turniej!H26=2,turniej!F20,IF(turniej!H26=1,turniej!F26," "))</f>
        <v>GRZESIK Izabela</v>
      </c>
      <c r="E17" s="256">
        <f>VLOOKUP(D17,lista!D$8:S$39,4,FALSE)</f>
        <v>0</v>
      </c>
      <c r="F17" s="254">
        <f>VLOOKUP(G17,lista!$J$8:$S$39,10,FALSE)</f>
        <v>0</v>
      </c>
      <c r="G17" s="255" t="str">
        <f>IF(turniej!H26=2,turniej!F21,IF(turniej!H26=1,turniej!F27," "))</f>
        <v>KRYCZEK Adam</v>
      </c>
      <c r="H17" s="256">
        <f>VLOOKUP(G17,lista!J$8:S$39,4,FALSE)</f>
        <v>0</v>
      </c>
    </row>
    <row r="18" spans="2:8" ht="19.5" customHeight="1">
      <c r="B18" s="31"/>
      <c r="C18" s="254">
        <f>VLOOKUP(D18,lista!$D$8:$S$39,15,FALSE)</f>
        <v>0</v>
      </c>
      <c r="D18" s="255" t="str">
        <f>IF(turniej!H38=2,turniej!F32,IF(turniej!H38=1,turniej!F38," "))</f>
        <v>WITASIK Jolanta</v>
      </c>
      <c r="E18" s="256">
        <f>VLOOKUP(D18,lista!D$8:S$39,4,FALSE)</f>
        <v>0</v>
      </c>
      <c r="F18" s="254">
        <f>VLOOKUP(G18,lista!$J$8:$S$39,10,FALSE)</f>
        <v>0</v>
      </c>
      <c r="G18" s="255" t="str">
        <f>IF(turniej!H38=2,turniej!F33,IF(turniej!H38=1,turniej!F39," "))</f>
        <v>KOSTRZEWSKI Krzysztof</v>
      </c>
      <c r="H18" s="256">
        <f>VLOOKUP(G18,lista!J$8:S$39,4,FALSE)</f>
        <v>0</v>
      </c>
    </row>
    <row r="19" spans="2:8" ht="19.5" customHeight="1">
      <c r="B19" s="31"/>
      <c r="C19" s="254">
        <f>VLOOKUP(D19,lista!$D$8:$S$39,15,FALSE)</f>
        <v>0</v>
      </c>
      <c r="D19" s="255" t="str">
        <f>IF(turniej!H50=2,turniej!F44,IF(turniej!H50=1,turniej!F50," "))</f>
        <v>CZARNECKA Jolanta</v>
      </c>
      <c r="E19" s="256">
        <f>VLOOKUP(D19,lista!D$8:S$39,4,FALSE)</f>
        <v>0</v>
      </c>
      <c r="F19" s="254">
        <f>VLOOKUP(G19,lista!$J$8:$S$39,10,FALSE)</f>
        <v>0</v>
      </c>
      <c r="G19" s="255" t="str">
        <f>IF(turniej!H50=2,turniej!F45,IF(turniej!H50=1,turniej!F51," "))</f>
        <v>AMPUŁA Andrzej</v>
      </c>
      <c r="H19" s="256">
        <f>VLOOKUP(G19,lista!J$8:S$39,4,FALSE)</f>
        <v>0</v>
      </c>
    </row>
    <row r="20" spans="2:8" ht="19.5" customHeight="1">
      <c r="B20" s="31"/>
      <c r="C20" s="254">
        <f>VLOOKUP(D20,lista!$D$8:$S$39,15,FALSE)</f>
        <v>0</v>
      </c>
      <c r="D20" s="255" t="str">
        <f>IF(turniej!H75=2,turniej!F69,IF(turniej!H75=1,turniej!F75," "))</f>
        <v>MICHALSKA Elżbieta</v>
      </c>
      <c r="E20" s="256">
        <f>VLOOKUP(D20,lista!D$8:S$39,4,FALSE)</f>
        <v>0</v>
      </c>
      <c r="F20" s="254">
        <f>VLOOKUP(G20,lista!$J$8:$S$39,10,FALSE)</f>
        <v>0</v>
      </c>
      <c r="G20" s="255" t="str">
        <f>IF(turniej!H75=2,turniej!F70,IF(turniej!H75=1,turniej!F76," "))</f>
        <v>KUREK Ryszard</v>
      </c>
      <c r="H20" s="256">
        <f>VLOOKUP(G20,lista!J$8:S$39,4,FALSE)</f>
        <v>0</v>
      </c>
    </row>
    <row r="21" spans="2:8" ht="19.5" customHeight="1">
      <c r="B21" s="31"/>
      <c r="C21" s="254">
        <f>VLOOKUP(D21,lista!$D$8:$S$39,15,FALSE)</f>
        <v>0</v>
      </c>
      <c r="D21" s="255" t="str">
        <f>IF(turniej!H87=2,turniej!F81,IF(turniej!H87=1,turniej!F87," "))</f>
        <v>ŚLUSARCZYK Urszula</v>
      </c>
      <c r="E21" s="256">
        <f>VLOOKUP(D21,lista!D$8:S$39,4,FALSE)</f>
        <v>0</v>
      </c>
      <c r="F21" s="254">
        <f>VLOOKUP(G21,lista!$J$8:$S$39,10,FALSE)</f>
        <v>0</v>
      </c>
      <c r="G21" s="255" t="str">
        <f>IF(turniej!H87=2,turniej!F82,IF(turniej!H87=1,turniej!F88," "))</f>
        <v>KACZMARCZYK Kamil</v>
      </c>
      <c r="H21" s="256">
        <f>VLOOKUP(G21,lista!J$8:S$39,4,FALSE)</f>
        <v>0</v>
      </c>
    </row>
    <row r="22" spans="2:8" ht="19.5" customHeight="1">
      <c r="B22" s="31"/>
      <c r="C22" s="254">
        <f>VLOOKUP(D22,lista!$D$8:$S$39,15,FALSE)</f>
        <v>0</v>
      </c>
      <c r="D22" s="255" t="str">
        <f>IF(turniej!H99=2,turniej!F93,IF(turniej!H99=1,turniej!F99," "))</f>
        <v>BALCERZAK Aneta</v>
      </c>
      <c r="E22" s="256">
        <f>VLOOKUP(D22,lista!D$8:S$39,4,FALSE)</f>
        <v>0</v>
      </c>
      <c r="F22" s="254">
        <f>VLOOKUP(G22,lista!$J$8:$S$39,10,FALSE)</f>
        <v>0</v>
      </c>
      <c r="G22" s="255" t="str">
        <f>IF(turniej!H99=2,turniej!F94,IF(turniej!H99=1,turniej!F100," "))</f>
        <v>WOŁOWIEC Ryszard</v>
      </c>
      <c r="H22" s="256">
        <f>VLOOKUP(G22,lista!J$8:S$39,4,FALSE)</f>
        <v>0</v>
      </c>
    </row>
    <row r="23" spans="2:8" ht="19.5" customHeight="1">
      <c r="B23" s="31"/>
      <c r="C23" s="254">
        <f>VLOOKUP(D23,lista!$D$8:$S$39,15,FALSE)</f>
        <v>0</v>
      </c>
      <c r="D23" s="255" t="str">
        <f>IF(turniej!H111=2,turniej!F105,IF(turniej!H111=1,turniej!F111," "))</f>
        <v>PAWLAK Katarzyna</v>
      </c>
      <c r="E23" s="256">
        <f>VLOOKUP(D23,lista!D$8:S$39,4,FALSE)</f>
        <v>0</v>
      </c>
      <c r="F23" s="254">
        <f>VLOOKUP(G23,lista!$J$8:$S$39,10,FALSE)</f>
        <v>0</v>
      </c>
      <c r="G23" s="255" t="str">
        <f>IF(turniej!H111=2,turniej!F106,IF(turniej!H111=1,turniej!F112," "))</f>
        <v>DROBNY Maciej</v>
      </c>
      <c r="H23" s="256">
        <f>VLOOKUP(G23,lista!J$8:S$39,4,FALSE)</f>
        <v>0</v>
      </c>
    </row>
    <row r="24" spans="2:8" ht="19.5" customHeight="1">
      <c r="B24" s="31" t="s">
        <v>49</v>
      </c>
      <c r="C24" s="254" t="str">
        <f>VLOOKUP(D24,lista!$D$8:$S$39,15,FALSE)</f>
        <v>-</v>
      </c>
      <c r="D24" s="255" t="str">
        <f>IF(turniej!E10=2,turniej!C7,IF(turniej!E10=1,turniej!C10," "))</f>
        <v>-</v>
      </c>
      <c r="E24" s="256" t="str">
        <f>VLOOKUP(D24,lista!D$8:S$39,4,FALSE)</f>
        <v>-</v>
      </c>
      <c r="F24" s="254" t="str">
        <f>VLOOKUP(G24,lista!$J$8:$S$39,10,FALSE)</f>
        <v>-</v>
      </c>
      <c r="G24" s="255" t="str">
        <f>IF(turniej!E10=2,turniej!C8,IF(turniej!E10=1,turniej!C11," "))</f>
        <v>-</v>
      </c>
      <c r="H24" s="256" t="str">
        <f>VLOOKUP(G24,lista!J$8:S$39,4,FALSE)</f>
        <v>-</v>
      </c>
    </row>
    <row r="25" spans="2:8" ht="19.5" customHeight="1">
      <c r="B25" s="31"/>
      <c r="C25" s="254">
        <f>VLOOKUP(D25,lista!$D$8:$S$39,15,FALSE)</f>
        <v>0</v>
      </c>
      <c r="D25" s="255" t="str">
        <f>IF(turniej!E16=2,turniej!C13,IF(turniej!E16=1,turniej!C16," "))</f>
        <v>DUDZIAK Anna</v>
      </c>
      <c r="E25" s="256">
        <f>VLOOKUP(D25,lista!D$8:S$39,4,FALSE)</f>
        <v>0</v>
      </c>
      <c r="F25" s="254">
        <f>VLOOKUP(G25,lista!$J$8:$S$39,10,FALSE)</f>
        <v>0</v>
      </c>
      <c r="G25" s="255" t="str">
        <f>IF(turniej!E16=2,turniej!C14,IF(turniej!E16=1,turniej!C17," "))</f>
        <v>GŁADYSZ Janusz</v>
      </c>
      <c r="H25" s="256">
        <f>VLOOKUP(G25,lista!J$8:S$39,4,FALSE)</f>
        <v>0</v>
      </c>
    </row>
    <row r="26" spans="2:8" ht="19.5" customHeight="1">
      <c r="B26" s="31"/>
      <c r="C26" s="254" t="str">
        <f>VLOOKUP(D26,lista!$D$8:$S$39,15,FALSE)</f>
        <v>-</v>
      </c>
      <c r="D26" s="255" t="str">
        <f>IF(turniej!E22=2,turniej!C19,IF(turniej!E22=1,turniej!C22," "))</f>
        <v>-</v>
      </c>
      <c r="E26" s="256" t="str">
        <f>VLOOKUP(D26,lista!D$8:S$39,4,FALSE)</f>
        <v>-</v>
      </c>
      <c r="F26" s="254" t="str">
        <f>VLOOKUP(G26,lista!$J$8:$S$39,10,FALSE)</f>
        <v>-</v>
      </c>
      <c r="G26" s="255" t="str">
        <f>IF(turniej!E22=2,turniej!C20,IF(turniej!E22=1,turniej!C23," "))</f>
        <v>-</v>
      </c>
      <c r="H26" s="256" t="str">
        <f>VLOOKUP(G26,lista!J$8:S$39,4,FALSE)</f>
        <v>-</v>
      </c>
    </row>
    <row r="27" spans="2:8" ht="19.5" customHeight="1">
      <c r="B27" s="31"/>
      <c r="C27" s="254" t="str">
        <f>VLOOKUP(D27,lista!$D$8:$S$39,15,FALSE)</f>
        <v>-</v>
      </c>
      <c r="D27" s="255" t="str">
        <f>IF(turniej!E28=2,turniej!C25,IF(turniej!E28=1,turniej!C28," "))</f>
        <v>-</v>
      </c>
      <c r="E27" s="256" t="str">
        <f>VLOOKUP(D27,lista!D$8:S$39,4,FALSE)</f>
        <v>-</v>
      </c>
      <c r="F27" s="254" t="str">
        <f>VLOOKUP(G27,lista!$J$8:$S$39,10,FALSE)</f>
        <v>-</v>
      </c>
      <c r="G27" s="255" t="str">
        <f>IF(turniej!E28=2,turniej!C26,IF(turniej!E28=1,turniej!C29," "))</f>
        <v>-</v>
      </c>
      <c r="H27" s="256" t="str">
        <f>VLOOKUP(G27,lista!J$8:S$39,4,FALSE)</f>
        <v>-</v>
      </c>
    </row>
    <row r="28" spans="2:8" s="212" customFormat="1" ht="19.5" hidden="1" customHeight="1">
      <c r="B28" s="31"/>
      <c r="C28" s="254" t="str">
        <f>VLOOKUP(D28,lista!$D$8:$S$39,15,FALSE)</f>
        <v>-</v>
      </c>
      <c r="D28" s="255" t="str">
        <f>IF(turniej!E34=2,turniej!C31,IF(turniej!E34=1,turniej!C34," "))</f>
        <v>-</v>
      </c>
      <c r="E28" s="256" t="str">
        <f>VLOOKUP(D28,lista!D$8:S$39,4,FALSE)</f>
        <v>-</v>
      </c>
      <c r="F28" s="254" t="str">
        <f>VLOOKUP(G28,lista!$J$8:$S$39,10,FALSE)</f>
        <v>-</v>
      </c>
      <c r="G28" s="255" t="str">
        <f>IF(turniej!E34=2,turniej!C32,IF(turniej!E34=1,turniej!C35," "))</f>
        <v>-</v>
      </c>
      <c r="H28" s="256" t="str">
        <f>VLOOKUP(G28,lista!J$8:S$39,4,FALSE)</f>
        <v>-</v>
      </c>
    </row>
    <row r="29" spans="2:8" s="212" customFormat="1" ht="19.5" customHeight="1">
      <c r="B29" s="31"/>
      <c r="C29" s="254" t="str">
        <f>VLOOKUP(D29,lista!$D$8:$S$39,15,FALSE)</f>
        <v>-</v>
      </c>
      <c r="D29" s="258" t="str">
        <f>IF(turniej!E40=2,turniej!C37,IF(turniej!E40=1,turniej!C40," "))</f>
        <v>-</v>
      </c>
      <c r="E29" s="256" t="str">
        <f>VLOOKUP(D29,lista!D$8:S$39,4,FALSE)</f>
        <v>-</v>
      </c>
      <c r="F29" s="254" t="str">
        <f>VLOOKUP(G29,lista!$J$8:$S$39,10,FALSE)</f>
        <v>-</v>
      </c>
      <c r="G29" s="258" t="str">
        <f>IF(turniej!E40=2,turniej!C38,IF(turniej!E40=1,turniej!C41," "))</f>
        <v>-</v>
      </c>
      <c r="H29" s="256" t="str">
        <f>VLOOKUP(G29,lista!J$8:S$39,4,FALSE)</f>
        <v>-</v>
      </c>
    </row>
    <row r="30" spans="2:8" s="212" customFormat="1" ht="19.5" customHeight="1">
      <c r="B30" s="31"/>
      <c r="C30" s="254" t="str">
        <f>VLOOKUP(D30,lista!$D$8:$S$39,15,FALSE)</f>
        <v>-</v>
      </c>
      <c r="D30" s="258" t="str">
        <f>IF(turniej!E46=2,turniej!C43,IF(turniej!E46=1,turniej!C46," "))</f>
        <v>-</v>
      </c>
      <c r="E30" s="256" t="str">
        <f>VLOOKUP(D30,lista!D$8:S$39,4,FALSE)</f>
        <v>-</v>
      </c>
      <c r="F30" s="254" t="str">
        <f>VLOOKUP(G30,lista!$J$8:$S$39,10,FALSE)</f>
        <v>-</v>
      </c>
      <c r="G30" s="258" t="str">
        <f>IF(turniej!E46=2,turniej!C44,IF(turniej!E46=1,turniej!C47," "))</f>
        <v>-</v>
      </c>
      <c r="H30" s="256" t="str">
        <f>VLOOKUP(G30,lista!J$8:S$39,4,FALSE)</f>
        <v>-</v>
      </c>
    </row>
    <row r="31" spans="2:8" s="212" customFormat="1" ht="19.5" customHeight="1">
      <c r="B31" s="31"/>
      <c r="C31" s="254" t="str">
        <f>VLOOKUP(D31,lista!$D$8:$S$39,15,FALSE)</f>
        <v>-</v>
      </c>
      <c r="D31" s="258" t="str">
        <f>IF(turniej!E52=2,turniej!C49,IF(turniej!E52=1,turniej!C52," "))</f>
        <v>-</v>
      </c>
      <c r="E31" s="256" t="str">
        <f>VLOOKUP(D31,lista!D$8:S$39,4,FALSE)</f>
        <v>-</v>
      </c>
      <c r="F31" s="254" t="str">
        <f>VLOOKUP(G31,lista!$J$8:$S$39,10,FALSE)</f>
        <v>-</v>
      </c>
      <c r="G31" s="258" t="str">
        <f>IF(turniej!E52=2,turniej!C50,IF(turniej!E52=1,turniej!C53," "))</f>
        <v>-</v>
      </c>
      <c r="H31" s="256" t="str">
        <f>VLOOKUP(G31,lista!J$8:S$39,4,FALSE)</f>
        <v>-</v>
      </c>
    </row>
    <row r="32" spans="2:8" s="212" customFormat="1" ht="19.5" customHeight="1">
      <c r="B32" s="31"/>
      <c r="C32" s="254" t="str">
        <f>VLOOKUP(D32,lista!$D$8:$S$39,15,FALSE)</f>
        <v>-</v>
      </c>
      <c r="D32" s="258" t="str">
        <f>IF(turniej!E71=2,turniej!C68,IF(turniej!E71=1,turniej!C71," "))</f>
        <v>-</v>
      </c>
      <c r="E32" s="256" t="str">
        <f>VLOOKUP(D32,lista!D$8:S$39,4,FALSE)</f>
        <v>-</v>
      </c>
      <c r="F32" s="254" t="str">
        <f>VLOOKUP(G32,lista!$J$8:$S$39,10,FALSE)</f>
        <v>-</v>
      </c>
      <c r="G32" s="258" t="str">
        <f>IF(turniej!E71=2,turniej!C69,IF(turniej!E71=1,turniej!C72," "))</f>
        <v>-</v>
      </c>
      <c r="H32" s="256" t="str">
        <f>VLOOKUP(G32,lista!J$8:S$39,4,FALSE)</f>
        <v>-</v>
      </c>
    </row>
    <row r="33" spans="1:9" s="212" customFormat="1" ht="19.5" customHeight="1">
      <c r="B33" s="31"/>
      <c r="C33" s="254" t="str">
        <f>VLOOKUP(D33,lista!$D$8:$S$39,15,FALSE)</f>
        <v>-</v>
      </c>
      <c r="D33" s="258" t="str">
        <f>IF(turniej!E77=2,turniej!C74,IF(turniej!E77=1,turniej!C77," "))</f>
        <v>-</v>
      </c>
      <c r="E33" s="256" t="str">
        <f>VLOOKUP(D33,lista!D$8:S$39,4,FALSE)</f>
        <v>-</v>
      </c>
      <c r="F33" s="254" t="str">
        <f>VLOOKUP(G33,lista!$J$8:$S$39,10,FALSE)</f>
        <v>-</v>
      </c>
      <c r="G33" s="258" t="str">
        <f>IF(turniej!E77=2,turniej!C75,IF(turniej!E77=1,turniej!C78," "))</f>
        <v>-</v>
      </c>
      <c r="H33" s="256" t="str">
        <f>VLOOKUP(G33,lista!J$8:S$39,4,FALSE)</f>
        <v>-</v>
      </c>
    </row>
    <row r="34" spans="1:9" s="212" customFormat="1" ht="19.5" customHeight="1">
      <c r="B34" s="31"/>
      <c r="C34" s="254" t="str">
        <f>VLOOKUP(D34,lista!$D$8:$S$39,15,FALSE)</f>
        <v>-</v>
      </c>
      <c r="D34" s="258" t="str">
        <f>IF(turniej!E83=2,turniej!C80,IF(turniej!E83=1,turniej!C83," "))</f>
        <v>-</v>
      </c>
      <c r="E34" s="256" t="str">
        <f>VLOOKUP(D34,lista!D$8:S$39,4,FALSE)</f>
        <v>-</v>
      </c>
      <c r="F34" s="254" t="str">
        <f>VLOOKUP(G34,lista!$J$8:$S$39,10,FALSE)</f>
        <v>-</v>
      </c>
      <c r="G34" s="258" t="str">
        <f>IF(turniej!E83=2,turniej!C81,IF(turniej!E83=1,turniej!C84," "))</f>
        <v>-</v>
      </c>
      <c r="H34" s="256" t="str">
        <f>VLOOKUP(G34,lista!J$8:S$39,4,FALSE)</f>
        <v>-</v>
      </c>
    </row>
    <row r="35" spans="1:9" s="212" customFormat="1" ht="19.5" customHeight="1">
      <c r="B35" s="31"/>
      <c r="C35" s="254" t="str">
        <f>VLOOKUP(D35,lista!$D$8:$S$39,15,FALSE)</f>
        <v>-</v>
      </c>
      <c r="D35" s="258" t="str">
        <f>IF(turniej!E89=2,turniej!C86,IF(turniej!E89=1,turniej!C89," "))</f>
        <v>-</v>
      </c>
      <c r="E35" s="256" t="str">
        <f>VLOOKUP(D35,lista!D$8:S$39,4,FALSE)</f>
        <v>-</v>
      </c>
      <c r="F35" s="254" t="str">
        <f>VLOOKUP(G35,lista!$J$8:$S$39,10,FALSE)</f>
        <v>-</v>
      </c>
      <c r="G35" s="258" t="str">
        <f>IF(turniej!E89=2,turniej!C87,IF(turniej!E89=1,turniej!C90," "))</f>
        <v>-</v>
      </c>
      <c r="H35" s="256" t="str">
        <f>VLOOKUP(G35,lista!J$8:S$39,4,FALSE)</f>
        <v>-</v>
      </c>
    </row>
    <row r="36" spans="1:9" s="212" customFormat="1" ht="19.5" customHeight="1">
      <c r="B36" s="31"/>
      <c r="C36" s="254" t="str">
        <f>VLOOKUP(D36,lista!$D$8:$S$39,15,FALSE)</f>
        <v>-</v>
      </c>
      <c r="D36" s="258" t="str">
        <f>IF(turniej!E95=2,turniej!C92,IF(turniej!E95=1,turniej!C95," "))</f>
        <v>-</v>
      </c>
      <c r="E36" s="256" t="str">
        <f>VLOOKUP(D36,lista!D$8:S$39,4,FALSE)</f>
        <v>-</v>
      </c>
      <c r="F36" s="254" t="str">
        <f>VLOOKUP(G36,lista!$J$8:$S$39,10,FALSE)</f>
        <v>-</v>
      </c>
      <c r="G36" s="258" t="str">
        <f>IF(turniej!E95=2,turniej!C93,IF(turniej!E95=1,turniej!C96," "))</f>
        <v>-</v>
      </c>
      <c r="H36" s="256" t="str">
        <f>VLOOKUP(G36,lista!J$8:S$39,4,FALSE)</f>
        <v>-</v>
      </c>
    </row>
    <row r="37" spans="1:9" s="212" customFormat="1" ht="19.5" customHeight="1">
      <c r="B37" s="31"/>
      <c r="C37" s="254" t="str">
        <f>VLOOKUP(D37,lista!$D$8:$S$39,15,FALSE)</f>
        <v>-</v>
      </c>
      <c r="D37" s="258" t="str">
        <f>IF(turniej!E101=2,turniej!C98,IF(turniej!E101=1,turniej!C101," "))</f>
        <v>-</v>
      </c>
      <c r="E37" s="256" t="str">
        <f>VLOOKUP(D37,lista!D$8:S$39,4,FALSE)</f>
        <v>-</v>
      </c>
      <c r="F37" s="254" t="str">
        <f>VLOOKUP(G37,lista!$J$8:$S$39,10,FALSE)</f>
        <v>-</v>
      </c>
      <c r="G37" s="258" t="str">
        <f>IF(turniej!E101=2,turniej!C99,IF(turniej!E101=1,turniej!C102," "))</f>
        <v>-</v>
      </c>
      <c r="H37" s="256" t="str">
        <f>VLOOKUP(G37,lista!J$8:S$39,4,FALSE)</f>
        <v>-</v>
      </c>
    </row>
    <row r="38" spans="1:9" s="212" customFormat="1" ht="19.5" customHeight="1">
      <c r="B38" s="31"/>
      <c r="C38" s="254" t="str">
        <f>VLOOKUP(D38,lista!$D$8:$S$39,15,FALSE)</f>
        <v>-</v>
      </c>
      <c r="D38" s="258" t="str">
        <f>IF(turniej!E107=2,turniej!C104,IF(turniej!E107=1,turniej!C107," "))</f>
        <v>-</v>
      </c>
      <c r="E38" s="256" t="str">
        <f>VLOOKUP(D38,lista!D$8:S$39,4,FALSE)</f>
        <v>-</v>
      </c>
      <c r="F38" s="254" t="str">
        <f>VLOOKUP(G38,lista!$J$8:$S$39,10,FALSE)</f>
        <v>-</v>
      </c>
      <c r="G38" s="258" t="str">
        <f>IF(turniej!E107=2,turniej!C105,IF(turniej!E107=1,turniej!C108," "))</f>
        <v>-</v>
      </c>
      <c r="H38" s="256" t="str">
        <f>VLOOKUP(G38,lista!J$8:S$39,4,FALSE)</f>
        <v>-</v>
      </c>
    </row>
    <row r="39" spans="1:9" s="212" customFormat="1" ht="19.5" customHeight="1">
      <c r="B39" s="31"/>
      <c r="C39" s="254" t="str">
        <f>VLOOKUP(D39,lista!$D$8:$S$39,15,FALSE)</f>
        <v>-</v>
      </c>
      <c r="D39" s="258" t="str">
        <f>IF(turniej!E113=2,turniej!C110,IF(turniej!E113=1,turniej!C113," "))</f>
        <v>-</v>
      </c>
      <c r="E39" s="256" t="str">
        <f>VLOOKUP(D39,lista!D$8:S$39,4,FALSE)</f>
        <v>-</v>
      </c>
      <c r="F39" s="254" t="str">
        <f>VLOOKUP(G39,lista!$J$8:$S$39,10,FALSE)</f>
        <v>-</v>
      </c>
      <c r="G39" s="258" t="str">
        <f>IF(turniej!E113=2,turniej!C111,IF(turniej!E113=1,turniej!C114," "))</f>
        <v>-</v>
      </c>
      <c r="H39" s="256" t="str">
        <f>VLOOKUP(G39,lista!J$8:S$39,4,FALSE)</f>
        <v>-</v>
      </c>
    </row>
    <row r="40" spans="1:9" s="212" customFormat="1" ht="20.100000000000001" customHeight="1">
      <c r="B40" s="213"/>
      <c r="C40" s="214"/>
      <c r="D40" s="215"/>
      <c r="E40" s="215"/>
      <c r="F40" s="214"/>
      <c r="G40" s="215"/>
      <c r="H40" s="215"/>
    </row>
    <row r="41" spans="1:9" s="212" customFormat="1" ht="20.100000000000001" customHeight="1">
      <c r="B41" s="227" t="s">
        <v>111</v>
      </c>
      <c r="C41" s="214"/>
      <c r="D41" s="215"/>
      <c r="E41" s="215"/>
      <c r="F41" s="214"/>
      <c r="G41" s="215"/>
      <c r="H41" s="215"/>
    </row>
    <row r="42" spans="1:9" s="212" customFormat="1" ht="20.100000000000001" customHeight="1">
      <c r="B42" s="213"/>
      <c r="C42" s="19"/>
      <c r="D42" s="18"/>
      <c r="E42" s="216"/>
      <c r="F42" s="19"/>
      <c r="G42" s="18"/>
      <c r="H42" s="216"/>
    </row>
    <row r="43" spans="1:9" s="212" customFormat="1" ht="20.100000000000001" customHeight="1">
      <c r="B43" s="213"/>
      <c r="C43" s="19"/>
      <c r="D43" s="18"/>
      <c r="E43" s="216"/>
      <c r="F43" s="19"/>
      <c r="G43" s="18"/>
      <c r="H43" s="216"/>
    </row>
    <row r="44" spans="1:9" ht="20.100000000000001" customHeight="1">
      <c r="A44" s="259" t="str">
        <f>IF(info!C$6="","", CONCATENATE(info!B$7," ",info!C$7))</f>
        <v>Obsługa komputerowa Michał Majcher</v>
      </c>
      <c r="B44" s="20"/>
      <c r="C44" s="35"/>
      <c r="D44" s="36"/>
      <c r="E44" s="35"/>
      <c r="F44" s="35"/>
      <c r="G44" s="36"/>
      <c r="H44" s="35"/>
      <c r="I44" s="17" t="str">
        <f>IF(info!C$6="","", CONCATENATE(info!B$6," ",info!C$6))</f>
        <v>Sędzia Główny Bartosz Majcher</v>
      </c>
    </row>
    <row r="45" spans="1:9" ht="20.100000000000001" customHeight="1">
      <c r="I45" s="261"/>
    </row>
    <row r="46" spans="1:9" ht="20.100000000000001" customHeight="1">
      <c r="I46" s="37"/>
    </row>
    <row r="47" spans="1:9" ht="20.100000000000001" customHeight="1">
      <c r="I47" s="37"/>
    </row>
    <row r="48" spans="1:9" ht="20.100000000000001" customHeight="1">
      <c r="I48" s="37"/>
    </row>
    <row r="49" spans="1:9" ht="20.100000000000001" customHeight="1">
      <c r="I49" s="37"/>
    </row>
    <row r="50" spans="1:9" ht="20.100000000000001" customHeight="1">
      <c r="I50" s="37"/>
    </row>
    <row r="51" spans="1:9" ht="20.100000000000001" customHeight="1">
      <c r="I51" s="37"/>
    </row>
    <row r="52" spans="1:9" ht="20.100000000000001" customHeight="1">
      <c r="I52" s="37"/>
    </row>
    <row r="53" spans="1:9" ht="20.100000000000001" customHeight="1">
      <c r="I53" s="37"/>
    </row>
    <row r="54" spans="1:9" ht="20.100000000000001" customHeight="1">
      <c r="I54" s="37"/>
    </row>
    <row r="55" spans="1:9" ht="20.100000000000001" customHeight="1">
      <c r="I55" s="37"/>
    </row>
    <row r="56" spans="1:9" ht="20.100000000000001" customHeight="1">
      <c r="A56" s="38"/>
      <c r="B56" s="39"/>
      <c r="I56" s="38"/>
    </row>
    <row r="57" spans="1:9" ht="20.100000000000001" customHeight="1">
      <c r="A57" s="28"/>
      <c r="B57" s="42"/>
      <c r="I57" s="28"/>
    </row>
    <row r="58" spans="1:9" ht="20.100000000000001" customHeight="1">
      <c r="A58" s="38"/>
      <c r="B58" s="39"/>
      <c r="I58" s="38"/>
    </row>
    <row r="59" spans="1:9" ht="20.100000000000001" customHeight="1">
      <c r="A59" s="38"/>
      <c r="B59" s="31"/>
      <c r="I59" s="38"/>
    </row>
    <row r="60" spans="1:9" ht="20.100000000000001" customHeight="1">
      <c r="A60" s="38"/>
      <c r="B60" s="31"/>
      <c r="I60" s="38"/>
    </row>
    <row r="61" spans="1:9" ht="20.100000000000001" customHeight="1">
      <c r="A61" s="38"/>
      <c r="B61" s="31"/>
      <c r="I61" s="38"/>
    </row>
    <row r="62" spans="1:9" ht="20.100000000000001" customHeight="1">
      <c r="A62" s="38"/>
      <c r="B62" s="31"/>
      <c r="I62" s="38"/>
    </row>
    <row r="63" spans="1:9" ht="20.100000000000001" customHeight="1">
      <c r="A63" s="38"/>
      <c r="B63" s="31"/>
      <c r="I63" s="38"/>
    </row>
    <row r="64" spans="1:9" ht="20.100000000000001" customHeight="1">
      <c r="A64" s="38"/>
      <c r="B64" s="31"/>
      <c r="I64" s="38"/>
    </row>
    <row r="65" spans="1:9" ht="20.100000000000001" customHeight="1">
      <c r="A65" s="38"/>
      <c r="B65" s="31"/>
      <c r="I65" s="38"/>
    </row>
    <row r="66" spans="1:9" ht="20.100000000000001" customHeight="1">
      <c r="A66" s="38"/>
      <c r="B66" s="31"/>
      <c r="I66" s="38"/>
    </row>
    <row r="67" spans="1:9" ht="20.100000000000001" customHeight="1">
      <c r="A67" s="38"/>
      <c r="B67" s="31"/>
      <c r="C67" s="22"/>
      <c r="D67" s="22"/>
      <c r="E67" s="22"/>
      <c r="F67" s="32"/>
      <c r="G67" s="33"/>
      <c r="H67" s="34"/>
      <c r="I67" s="38"/>
    </row>
    <row r="68" spans="1:9" ht="20.100000000000001" customHeight="1">
      <c r="A68" s="38"/>
      <c r="B68" s="31"/>
      <c r="C68" s="22"/>
      <c r="D68" s="22"/>
      <c r="E68" s="22"/>
      <c r="F68" s="32"/>
      <c r="G68" s="33"/>
      <c r="H68" s="34"/>
      <c r="I68" s="38"/>
    </row>
    <row r="69" spans="1:9" ht="20.100000000000001" customHeight="1">
      <c r="A69" s="38"/>
      <c r="B69" s="31"/>
      <c r="C69" s="22"/>
      <c r="D69" s="22"/>
      <c r="E69" s="22"/>
      <c r="F69" s="22"/>
      <c r="G69" s="22"/>
      <c r="H69" s="22"/>
      <c r="I69" s="38"/>
    </row>
    <row r="70" spans="1:9" ht="20.100000000000001" customHeight="1">
      <c r="A70" s="38"/>
      <c r="B70" s="31"/>
      <c r="I70" s="38"/>
    </row>
    <row r="71" spans="1:9" ht="20.100000000000001" customHeight="1">
      <c r="A71" s="38"/>
      <c r="B71" s="31"/>
      <c r="F71" s="32"/>
      <c r="G71" s="33"/>
      <c r="H71" s="34"/>
      <c r="I71" s="38"/>
    </row>
    <row r="72" spans="1:9" ht="20.100000000000001" customHeight="1">
      <c r="A72" s="38"/>
      <c r="B72" s="31"/>
      <c r="C72" s="22"/>
      <c r="D72" s="22"/>
      <c r="E72" s="22"/>
      <c r="F72" s="32"/>
      <c r="G72" s="33"/>
      <c r="H72" s="34"/>
      <c r="I72" s="38"/>
    </row>
    <row r="73" spans="1:9" ht="20.100000000000001" customHeight="1">
      <c r="A73" s="38"/>
      <c r="B73" s="31"/>
      <c r="C73" s="22"/>
      <c r="D73" s="22"/>
      <c r="E73" s="22"/>
      <c r="F73" s="32"/>
      <c r="G73" s="33"/>
      <c r="H73" s="34"/>
      <c r="I73" s="38"/>
    </row>
    <row r="74" spans="1:9" ht="20.100000000000001" customHeight="1">
      <c r="A74" s="38"/>
      <c r="B74" s="31"/>
      <c r="C74" s="22"/>
      <c r="D74" s="22"/>
      <c r="E74" s="22"/>
      <c r="F74" s="32"/>
      <c r="G74" s="33"/>
      <c r="H74" s="34"/>
      <c r="I74" s="38"/>
    </row>
    <row r="75" spans="1:9" ht="18.75">
      <c r="A75" s="38"/>
      <c r="B75" s="31"/>
      <c r="C75" s="22"/>
      <c r="D75" s="22"/>
      <c r="E75" s="22"/>
      <c r="F75" s="32"/>
      <c r="G75" s="33"/>
      <c r="H75" s="34"/>
      <c r="I75" s="38"/>
    </row>
    <row r="76" spans="1:9" ht="18.75">
      <c r="A76" s="38"/>
      <c r="B76" s="31"/>
      <c r="C76" s="22"/>
      <c r="D76" s="22"/>
      <c r="E76" s="22"/>
      <c r="F76" s="32"/>
      <c r="G76" s="33"/>
      <c r="H76" s="34"/>
      <c r="I76" s="38"/>
    </row>
    <row r="77" spans="1:9" ht="18.75">
      <c r="A77" s="38"/>
      <c r="B77" s="31"/>
      <c r="C77" s="22"/>
      <c r="D77" s="22"/>
      <c r="E77" s="22"/>
      <c r="F77" s="32"/>
      <c r="G77" s="33"/>
      <c r="H77" s="34"/>
      <c r="I77" s="38"/>
    </row>
    <row r="78" spans="1:9" ht="18.75">
      <c r="A78" s="38"/>
      <c r="B78" s="31"/>
      <c r="C78" s="22"/>
      <c r="D78" s="22"/>
      <c r="E78" s="22"/>
      <c r="F78" s="32"/>
      <c r="G78" s="33"/>
      <c r="H78" s="34"/>
      <c r="I78" s="38"/>
    </row>
    <row r="79" spans="1:9" ht="18.75">
      <c r="A79" s="38"/>
      <c r="B79" s="31"/>
      <c r="C79" s="22"/>
      <c r="D79" s="22"/>
      <c r="E79" s="22"/>
      <c r="F79" s="32"/>
      <c r="G79" s="33"/>
      <c r="H79" s="34"/>
      <c r="I79" s="38"/>
    </row>
    <row r="80" spans="1:9" ht="18.75">
      <c r="A80" s="38"/>
      <c r="B80" s="31"/>
      <c r="C80" s="22"/>
      <c r="D80" s="22"/>
      <c r="E80" s="22"/>
      <c r="F80" s="32"/>
      <c r="G80" s="33"/>
      <c r="H80" s="34"/>
      <c r="I80" s="38"/>
    </row>
    <row r="81" spans="1:9" ht="17.25">
      <c r="A81" s="38"/>
      <c r="B81" s="39"/>
      <c r="C81" s="22"/>
      <c r="D81" s="22"/>
      <c r="E81" s="22"/>
      <c r="F81" s="32"/>
      <c r="G81" s="33"/>
      <c r="H81" s="34"/>
      <c r="I81" s="38"/>
    </row>
    <row r="82" spans="1:9" ht="18.75">
      <c r="C82" s="22"/>
      <c r="D82" s="22"/>
      <c r="E82" s="22"/>
      <c r="F82" s="43"/>
      <c r="G82" s="44"/>
      <c r="H82" s="45"/>
    </row>
    <row r="83" spans="1:9" ht="18.75">
      <c r="C83" s="22"/>
      <c r="D83" s="22"/>
      <c r="E83" s="22"/>
      <c r="F83" s="43"/>
      <c r="G83" s="44"/>
      <c r="H83" s="45"/>
    </row>
    <row r="84" spans="1:9" ht="18.75">
      <c r="C84" s="22"/>
      <c r="D84" s="22"/>
      <c r="E84" s="22"/>
      <c r="F84" s="43"/>
      <c r="G84" s="33"/>
      <c r="H84" s="45"/>
    </row>
    <row r="85" spans="1:9" ht="17.25">
      <c r="B85" s="39"/>
      <c r="C85" s="22"/>
      <c r="D85" s="22"/>
      <c r="E85" s="22"/>
      <c r="F85" s="40"/>
      <c r="G85" s="33"/>
      <c r="H85" s="41"/>
      <c r="I85" s="38"/>
    </row>
    <row r="86" spans="1:9" ht="17.25">
      <c r="B86" s="39"/>
      <c r="C86" s="22"/>
      <c r="D86" s="22"/>
      <c r="E86" s="22"/>
      <c r="F86" s="40"/>
      <c r="G86" s="33"/>
      <c r="H86" s="41"/>
      <c r="I86" s="38"/>
    </row>
    <row r="87" spans="1:9" ht="17.25">
      <c r="B87" s="39"/>
      <c r="C87" s="22"/>
      <c r="D87" s="22"/>
      <c r="E87" s="22"/>
      <c r="F87" s="40"/>
      <c r="G87" s="33"/>
      <c r="H87" s="41"/>
      <c r="I87" s="38"/>
    </row>
    <row r="88" spans="1:9" ht="17.25">
      <c r="B88" s="39"/>
      <c r="C88" s="22"/>
      <c r="D88" s="22"/>
      <c r="E88" s="22"/>
      <c r="F88" s="40"/>
      <c r="G88" s="33"/>
      <c r="H88" s="41"/>
      <c r="I88" s="38"/>
    </row>
    <row r="89" spans="1:9" ht="17.25">
      <c r="B89" s="39"/>
      <c r="C89" s="22"/>
      <c r="D89" s="22"/>
      <c r="E89" s="22"/>
      <c r="F89" s="40"/>
      <c r="G89" s="33"/>
      <c r="H89" s="41"/>
      <c r="I89" s="38"/>
    </row>
    <row r="90" spans="1:9">
      <c r="B90" s="39"/>
      <c r="C90" s="22"/>
      <c r="D90" s="22"/>
      <c r="E90" s="22"/>
      <c r="F90" s="40"/>
      <c r="G90" s="41"/>
      <c r="H90" s="41"/>
      <c r="I90" s="38"/>
    </row>
    <row r="91" spans="1:9">
      <c r="B91" s="39"/>
      <c r="C91" s="22"/>
      <c r="D91" s="22"/>
      <c r="E91" s="22"/>
      <c r="F91" s="40"/>
      <c r="G91" s="41"/>
      <c r="H91" s="41"/>
      <c r="I91" s="38"/>
    </row>
    <row r="92" spans="1:9">
      <c r="B92" s="39"/>
      <c r="C92" s="22"/>
      <c r="D92" s="22"/>
      <c r="E92" s="22"/>
      <c r="F92" s="40"/>
      <c r="G92" s="41"/>
      <c r="H92" s="41"/>
      <c r="I92" s="38"/>
    </row>
    <row r="93" spans="1:9">
      <c r="B93" s="39"/>
      <c r="C93" s="22"/>
      <c r="D93" s="22"/>
      <c r="E93" s="22"/>
      <c r="F93" s="40"/>
      <c r="G93" s="41"/>
      <c r="H93" s="41"/>
      <c r="I93" s="38"/>
    </row>
    <row r="94" spans="1:9">
      <c r="B94" s="39"/>
      <c r="C94" s="22"/>
      <c r="D94" s="22"/>
      <c r="E94" s="22"/>
      <c r="F94" s="40"/>
      <c r="G94" s="41"/>
      <c r="H94" s="41"/>
      <c r="I94" s="38"/>
    </row>
    <row r="95" spans="1:9">
      <c r="B95" s="39"/>
      <c r="C95" s="22"/>
      <c r="D95" s="22"/>
      <c r="E95" s="22"/>
      <c r="F95" s="40"/>
      <c r="G95" s="41"/>
      <c r="H95" s="41"/>
      <c r="I95" s="38"/>
    </row>
    <row r="96" spans="1:9">
      <c r="B96" s="39"/>
      <c r="C96" s="22"/>
      <c r="D96" s="22"/>
      <c r="E96" s="22"/>
      <c r="F96" s="40"/>
      <c r="G96" s="41"/>
      <c r="H96" s="41"/>
      <c r="I96" s="38"/>
    </row>
    <row r="97" spans="2:9">
      <c r="B97" s="39"/>
      <c r="C97" s="22"/>
      <c r="D97" s="22"/>
      <c r="E97" s="22"/>
      <c r="F97" s="40"/>
      <c r="G97" s="41"/>
      <c r="H97" s="41"/>
      <c r="I97" s="38"/>
    </row>
    <row r="98" spans="2:9">
      <c r="B98" s="39"/>
      <c r="C98" s="22"/>
      <c r="D98" s="22"/>
      <c r="E98" s="22"/>
      <c r="F98" s="40"/>
      <c r="G98" s="41"/>
      <c r="H98" s="41"/>
      <c r="I98" s="38"/>
    </row>
    <row r="99" spans="2:9" ht="17.25">
      <c r="B99" s="39"/>
      <c r="C99" s="22"/>
      <c r="D99" s="22"/>
      <c r="E99" s="22"/>
      <c r="F99" s="40"/>
      <c r="G99" s="33"/>
      <c r="H99" s="41"/>
      <c r="I99" s="38"/>
    </row>
    <row r="100" spans="2:9">
      <c r="B100" s="39"/>
      <c r="C100" s="22"/>
      <c r="D100" s="22"/>
      <c r="E100" s="22"/>
      <c r="F100" s="40"/>
      <c r="G100" s="41"/>
      <c r="H100" s="41"/>
      <c r="I100" s="38"/>
    </row>
    <row r="101" spans="2:9">
      <c r="C101" s="22"/>
      <c r="D101" s="22"/>
      <c r="E101" s="22"/>
    </row>
    <row r="102" spans="2:9">
      <c r="C102" s="22"/>
      <c r="D102" s="22"/>
      <c r="E102" s="22"/>
    </row>
    <row r="103" spans="2:9">
      <c r="C103" s="22"/>
      <c r="D103" s="22"/>
      <c r="E103" s="22"/>
    </row>
  </sheetData>
  <sheetProtection formatCells="0" formatColumns="0" formatRows="0" insertRows="0"/>
  <mergeCells count="3">
    <mergeCell ref="B1:I1"/>
    <mergeCell ref="A3:I3"/>
    <mergeCell ref="A4:I4"/>
  </mergeCells>
  <printOptions horizontalCentered="1"/>
  <pageMargins left="0.39370078740157483" right="0.39370078740157483" top="0.23622047244094491" bottom="0.19685039370078741" header="0" footer="0"/>
  <pageSetup paperSize="9" scale="4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K50"/>
  <sheetViews>
    <sheetView zoomScale="70" zoomScaleNormal="70" workbookViewId="0">
      <selection activeCell="E24" sqref="E24"/>
    </sheetView>
  </sheetViews>
  <sheetFormatPr defaultColWidth="8.85546875" defaultRowHeight="14.25"/>
  <cols>
    <col min="1" max="1" width="70.28515625" style="283" customWidth="1"/>
    <col min="2" max="2" width="76" style="283" customWidth="1"/>
    <col min="3" max="3" width="1.85546875" style="283" customWidth="1"/>
    <col min="4" max="4" width="13.42578125" style="283" customWidth="1"/>
    <col min="5" max="5" width="29.28515625" style="283" customWidth="1"/>
    <col min="6" max="6" width="30.140625" style="283" customWidth="1"/>
    <col min="7" max="7" width="20.7109375" style="283" customWidth="1"/>
    <col min="8" max="16384" width="8.85546875" style="283"/>
  </cols>
  <sheetData>
    <row r="1" spans="1:9" ht="15">
      <c r="A1" s="281"/>
      <c r="B1" s="281"/>
      <c r="C1" s="282"/>
      <c r="D1" s="282"/>
      <c r="E1" s="312"/>
      <c r="F1" s="313" t="str">
        <f>IF(F13="","",CONCATENATE(F5," ",F2))</f>
        <v>1 miejsce (GRA MIESZANA)</v>
      </c>
      <c r="G1" s="288"/>
      <c r="H1" s="288"/>
      <c r="I1" s="288"/>
    </row>
    <row r="2" spans="1:9" ht="15">
      <c r="A2" s="281"/>
      <c r="B2" s="281"/>
      <c r="C2" s="282"/>
      <c r="D2" s="282"/>
      <c r="E2" s="312"/>
      <c r="F2" s="313" t="str">
        <f>CONCATENATE(F3&amp;" ("&amp;G2&amp;")")</f>
        <v>miejsce (GRA MIESZANA)</v>
      </c>
      <c r="G2" s="288" t="str">
        <f>info!C8</f>
        <v>GRA MIESZANA</v>
      </c>
      <c r="H2" s="288"/>
      <c r="I2" s="288"/>
    </row>
    <row r="3" spans="1:9">
      <c r="A3" s="281"/>
      <c r="B3" s="281"/>
      <c r="C3" s="282"/>
      <c r="D3" s="282"/>
      <c r="E3" s="312"/>
      <c r="F3" s="314" t="s">
        <v>123</v>
      </c>
      <c r="G3" s="288"/>
      <c r="H3" s="288"/>
      <c r="I3" s="288"/>
    </row>
    <row r="4" spans="1:9">
      <c r="A4" s="281"/>
      <c r="B4" s="281"/>
      <c r="C4" s="282"/>
      <c r="D4" s="282"/>
      <c r="E4" s="312"/>
      <c r="F4" s="315"/>
      <c r="G4" s="288"/>
      <c r="H4" s="288"/>
      <c r="I4" s="288"/>
    </row>
    <row r="5" spans="1:9">
      <c r="A5" s="281"/>
      <c r="B5" s="281"/>
      <c r="C5" s="282"/>
      <c r="D5" s="282"/>
      <c r="E5" s="312"/>
      <c r="F5" s="314">
        <f>VLOOKUP(F13,D35:G50,4,FALSE)</f>
        <v>1</v>
      </c>
      <c r="G5" s="288"/>
      <c r="H5" s="288"/>
      <c r="I5" s="288"/>
    </row>
    <row r="6" spans="1:9">
      <c r="A6" s="281"/>
      <c r="B6" s="281"/>
      <c r="C6" s="282"/>
      <c r="D6" s="282"/>
      <c r="E6" s="312"/>
      <c r="F6" s="315"/>
      <c r="G6" s="288"/>
      <c r="H6" s="288"/>
      <c r="I6" s="288"/>
    </row>
    <row r="7" spans="1:9" ht="15">
      <c r="A7" s="281"/>
      <c r="B7" s="281"/>
      <c r="C7" s="282"/>
      <c r="D7" s="282"/>
      <c r="E7" s="312"/>
      <c r="F7" s="316" t="str">
        <f>VLOOKUP(F13,D35:F45,2,FALSE)</f>
        <v>KASPRZAK Natalia</v>
      </c>
      <c r="G7" s="288" t="str">
        <f>VLOOKUP(F13,D35:F45,3,FALSE)</f>
        <v>PAWŁOWSKI Stanisław</v>
      </c>
      <c r="H7" s="288"/>
      <c r="I7" s="288"/>
    </row>
    <row r="8" spans="1:9" ht="15">
      <c r="A8" s="281"/>
      <c r="B8" s="281"/>
      <c r="C8" s="282"/>
      <c r="D8" s="282"/>
      <c r="E8" s="312"/>
      <c r="F8" s="313" t="str">
        <f>PROPER(F7)</f>
        <v>Kasprzak Natalia</v>
      </c>
      <c r="G8" s="288" t="str">
        <f>PROPER(G7)</f>
        <v>Pawłowski Stanisław</v>
      </c>
      <c r="H8" s="288"/>
      <c r="I8" s="288"/>
    </row>
    <row r="9" spans="1:9" ht="15">
      <c r="A9" s="281"/>
      <c r="B9" s="281"/>
      <c r="C9" s="282"/>
      <c r="D9" s="282"/>
      <c r="E9" s="312"/>
      <c r="F9" s="313" t="str">
        <f>RIGHT(F8,LEN(F8)-FIND(" ",F8))&amp;" "&amp;LEFT(F8,FIND(" ",F8)-1)</f>
        <v>Natalia Kasprzak</v>
      </c>
      <c r="G9" s="288" t="str">
        <f>RIGHT(G8,LEN(G8)-FIND(" ",G8))&amp;" "&amp;LEFT(G8,FIND(" ",G8)-1)</f>
        <v>Stanisław Pawłowski</v>
      </c>
      <c r="H9" s="288"/>
      <c r="I9" s="288"/>
    </row>
    <row r="10" spans="1:9">
      <c r="A10" s="281"/>
      <c r="B10" s="281"/>
      <c r="C10" s="282"/>
      <c r="D10" s="282"/>
      <c r="E10" s="312"/>
      <c r="F10" s="315"/>
      <c r="G10" s="288"/>
      <c r="H10" s="288"/>
      <c r="I10" s="288"/>
    </row>
    <row r="11" spans="1:9">
      <c r="A11" s="281"/>
      <c r="B11" s="281"/>
      <c r="C11" s="282"/>
      <c r="D11" s="282"/>
      <c r="E11" s="312"/>
      <c r="F11" s="315"/>
      <c r="G11" s="288"/>
      <c r="H11" s="288"/>
      <c r="I11" s="288"/>
    </row>
    <row r="12" spans="1:9" ht="15" thickBot="1">
      <c r="A12" s="281"/>
      <c r="B12" s="281"/>
      <c r="C12" s="282"/>
      <c r="D12" s="282"/>
      <c r="E12" s="282"/>
      <c r="F12" s="284"/>
    </row>
    <row r="13" spans="1:9" ht="116.25" customHeight="1" thickBot="1">
      <c r="A13" s="281"/>
      <c r="B13" s="281"/>
      <c r="C13" s="282"/>
      <c r="D13" s="282"/>
      <c r="E13" s="282"/>
      <c r="F13" s="285">
        <v>1</v>
      </c>
    </row>
    <row r="14" spans="1:9" ht="14.25" customHeight="1" thickBot="1">
      <c r="A14" s="282"/>
      <c r="B14" s="360" t="str">
        <f>IF(D15=1,F24&amp;" /"&amp;" "&amp;F25,IF(D15=2,F25&amp;" /"&amp;" "&amp;F24))&amp;IF(D15=3,F26&amp;" /"&amp;" "&amp;F24&amp;" /"&amp;" "&amp;F25,IF(A473=4,A488," "))</f>
        <v xml:space="preserve">Natalia Kasprzak / Stanisław Pawłowski </v>
      </c>
      <c r="C14" s="282"/>
      <c r="D14" s="282"/>
      <c r="E14" s="282"/>
      <c r="F14" s="282"/>
    </row>
    <row r="15" spans="1:9" ht="28.5" customHeight="1" thickBot="1">
      <c r="A15" s="282"/>
      <c r="B15" s="361"/>
      <c r="C15" s="282"/>
      <c r="D15" s="286">
        <v>1</v>
      </c>
      <c r="E15" s="362" t="s">
        <v>124</v>
      </c>
      <c r="F15" s="363"/>
      <c r="G15" s="363"/>
    </row>
    <row r="16" spans="1:9" ht="14.25" customHeight="1">
      <c r="A16" s="282"/>
      <c r="B16" s="361"/>
      <c r="C16" s="282"/>
      <c r="D16" s="282"/>
      <c r="E16" s="282"/>
      <c r="F16" s="282"/>
    </row>
    <row r="17" spans="1:11" ht="16.5" customHeight="1">
      <c r="A17" s="282"/>
      <c r="B17" s="361"/>
      <c r="C17" s="282"/>
      <c r="D17" s="282"/>
      <c r="E17" s="282"/>
      <c r="F17" s="282"/>
    </row>
    <row r="18" spans="1:11" ht="7.5" customHeight="1">
      <c r="A18" s="282"/>
      <c r="B18" s="287" t="s">
        <v>125</v>
      </c>
      <c r="C18" s="282"/>
      <c r="D18" s="282"/>
      <c r="E18" s="282"/>
      <c r="F18" s="282"/>
    </row>
    <row r="19" spans="1:11" ht="14.25" customHeight="1">
      <c r="A19" s="282"/>
      <c r="B19" s="364" t="str">
        <f>F1</f>
        <v>1 miejsce (GRA MIESZANA)</v>
      </c>
      <c r="C19" s="282"/>
      <c r="D19" s="282"/>
      <c r="E19" s="282"/>
      <c r="F19" s="282"/>
    </row>
    <row r="20" spans="1:11" ht="14.25" customHeight="1">
      <c r="A20" s="282"/>
      <c r="B20" s="364"/>
      <c r="C20" s="282"/>
      <c r="D20" s="282"/>
      <c r="E20" s="282"/>
      <c r="F20" s="282"/>
      <c r="G20" s="288"/>
      <c r="H20" s="288"/>
      <c r="I20" s="288"/>
      <c r="J20" s="288"/>
      <c r="K20" s="288"/>
    </row>
    <row r="21" spans="1:11" ht="14.25" customHeight="1">
      <c r="A21" s="282"/>
      <c r="B21" s="364"/>
      <c r="C21" s="282"/>
      <c r="D21" s="282"/>
      <c r="E21" s="282"/>
      <c r="F21" s="282"/>
      <c r="G21" s="288"/>
      <c r="H21" s="288"/>
      <c r="I21" s="288"/>
      <c r="J21" s="288"/>
      <c r="K21" s="288"/>
    </row>
    <row r="22" spans="1:11" ht="25.5" customHeight="1">
      <c r="A22" s="282"/>
      <c r="B22" s="364"/>
      <c r="C22" s="282"/>
      <c r="D22" s="289"/>
      <c r="E22" s="282"/>
      <c r="F22" s="281"/>
      <c r="G22" s="365"/>
      <c r="H22" s="365"/>
      <c r="I22" s="365"/>
      <c r="J22" s="365"/>
      <c r="K22" s="288"/>
    </row>
    <row r="23" spans="1:11">
      <c r="A23" s="282"/>
      <c r="B23" s="282"/>
      <c r="C23" s="282"/>
      <c r="D23" s="282"/>
      <c r="E23" s="282"/>
      <c r="F23" s="290"/>
      <c r="G23" s="365"/>
      <c r="H23" s="366"/>
      <c r="I23" s="366"/>
      <c r="J23" s="366"/>
      <c r="K23" s="288"/>
    </row>
    <row r="24" spans="1:11">
      <c r="A24" s="282"/>
      <c r="B24" s="282"/>
      <c r="C24" s="282"/>
      <c r="D24" s="282"/>
      <c r="E24" s="282"/>
      <c r="F24" s="291" t="str">
        <f>F9</f>
        <v>Natalia Kasprzak</v>
      </c>
      <c r="G24" s="366"/>
      <c r="H24" s="366"/>
      <c r="I24" s="366"/>
      <c r="J24" s="366"/>
      <c r="K24" s="288"/>
    </row>
    <row r="25" spans="1:11">
      <c r="A25" s="282"/>
      <c r="B25" s="282"/>
      <c r="C25" s="282"/>
      <c r="D25" s="282"/>
      <c r="E25" s="282"/>
      <c r="F25" s="291" t="str">
        <f>G9</f>
        <v>Stanisław Pawłowski</v>
      </c>
      <c r="H25" s="288"/>
      <c r="I25" s="288"/>
      <c r="J25" s="288"/>
      <c r="K25" s="288"/>
    </row>
    <row r="26" spans="1:11">
      <c r="A26" s="282"/>
      <c r="B26" s="282"/>
      <c r="C26" s="282"/>
      <c r="D26" s="282"/>
      <c r="E26" s="282"/>
      <c r="F26" s="291"/>
      <c r="G26" s="288"/>
      <c r="H26" s="288"/>
      <c r="I26" s="288"/>
      <c r="J26" s="288"/>
      <c r="K26" s="288"/>
    </row>
    <row r="27" spans="1:11">
      <c r="A27" s="282"/>
      <c r="B27" s="282"/>
      <c r="C27" s="282"/>
      <c r="D27" s="282"/>
      <c r="E27" s="282"/>
      <c r="F27" s="281"/>
      <c r="G27" s="288"/>
      <c r="H27" s="288"/>
      <c r="I27" s="288"/>
      <c r="J27" s="288"/>
      <c r="K27" s="288"/>
    </row>
    <row r="28" spans="1:11">
      <c r="A28" s="282"/>
      <c r="B28" s="282"/>
      <c r="C28" s="282"/>
      <c r="D28" s="282"/>
      <c r="E28" s="282"/>
      <c r="F28" s="282"/>
    </row>
    <row r="29" spans="1:11">
      <c r="A29" s="282"/>
      <c r="B29" s="282"/>
      <c r="C29" s="282"/>
      <c r="D29" s="282"/>
      <c r="E29" s="282"/>
      <c r="F29" s="282"/>
    </row>
    <row r="30" spans="1:11">
      <c r="A30" s="281"/>
      <c r="B30" s="282"/>
      <c r="C30" s="282"/>
      <c r="D30" s="282"/>
      <c r="E30" s="282"/>
      <c r="F30" s="282"/>
    </row>
    <row r="31" spans="1:11">
      <c r="A31" s="281"/>
      <c r="B31" s="282"/>
      <c r="C31" s="282"/>
      <c r="D31" s="281"/>
      <c r="E31" s="282"/>
      <c r="F31" s="282"/>
    </row>
    <row r="32" spans="1:11">
      <c r="A32" s="281"/>
      <c r="B32" s="282"/>
      <c r="C32" s="282"/>
      <c r="D32" s="281"/>
      <c r="E32" s="282"/>
      <c r="F32" s="282"/>
    </row>
    <row r="33" spans="1:7">
      <c r="A33" s="281"/>
      <c r="B33" s="282"/>
      <c r="C33" s="282"/>
      <c r="D33" s="292"/>
      <c r="E33" s="282"/>
      <c r="F33" s="282"/>
    </row>
    <row r="34" spans="1:7" ht="15" thickBot="1">
      <c r="A34" s="281"/>
      <c r="B34" s="282"/>
      <c r="C34" s="281"/>
      <c r="D34" s="293" t="s">
        <v>126</v>
      </c>
      <c r="F34" s="282"/>
      <c r="G34" s="294" t="s">
        <v>127</v>
      </c>
    </row>
    <row r="35" spans="1:7" s="297" customFormat="1" ht="19.899999999999999" customHeight="1" thickBot="1">
      <c r="A35" s="295"/>
      <c r="B35" s="296"/>
      <c r="D35" s="298">
        <v>1</v>
      </c>
      <c r="E35" s="299" t="str">
        <f>klasyfikacja!D8</f>
        <v>KASPRZAK Natalia</v>
      </c>
      <c r="F35" s="300" t="str">
        <f>klasyfikacja!G8</f>
        <v>PAWŁOWSKI Stanisław</v>
      </c>
      <c r="G35" s="301">
        <v>1</v>
      </c>
    </row>
    <row r="36" spans="1:7" s="297" customFormat="1" ht="19.899999999999999" customHeight="1" thickBot="1">
      <c r="A36" s="295"/>
      <c r="B36" s="296"/>
      <c r="D36" s="298">
        <v>2</v>
      </c>
      <c r="E36" s="302" t="str">
        <f>klasyfikacja!D9</f>
        <v>BURACZEK Elżbieta</v>
      </c>
      <c r="F36" s="303" t="str">
        <f>klasyfikacja!G9</f>
        <v>CIOŁEK Zbigniew</v>
      </c>
      <c r="G36" s="304">
        <v>2</v>
      </c>
    </row>
    <row r="37" spans="1:7" s="297" customFormat="1" ht="19.899999999999999" customHeight="1" thickBot="1">
      <c r="A37" s="295"/>
      <c r="B37" s="296"/>
      <c r="D37" s="298">
        <v>3</v>
      </c>
      <c r="E37" s="299" t="str">
        <f>klasyfikacja!D10</f>
        <v>DRZYMAŁA Jadwiga</v>
      </c>
      <c r="F37" s="300" t="str">
        <f>klasyfikacja!G10</f>
        <v>GAWRON Bogdan</v>
      </c>
      <c r="G37" s="301">
        <v>3</v>
      </c>
    </row>
    <row r="38" spans="1:7" s="297" customFormat="1" ht="19.899999999999999" customHeight="1" thickBot="1">
      <c r="B38" s="296"/>
      <c r="D38" s="298">
        <v>4</v>
      </c>
      <c r="E38" s="302" t="str">
        <f>klasyfikacja!D11</f>
        <v>TĄDEL Katarzyna</v>
      </c>
      <c r="F38" s="303" t="str">
        <f>klasyfikacja!G11</f>
        <v>PODSIADŁO Zbigniew</v>
      </c>
      <c r="G38" s="304">
        <v>3</v>
      </c>
    </row>
    <row r="39" spans="1:7" s="297" customFormat="1" ht="19.899999999999999" customHeight="1">
      <c r="B39" s="296"/>
      <c r="D39" s="305"/>
      <c r="E39" s="306"/>
      <c r="F39" s="307"/>
      <c r="G39" s="308"/>
    </row>
    <row r="40" spans="1:7" s="297" customFormat="1" ht="19.899999999999999" customHeight="1">
      <c r="B40" s="296"/>
      <c r="D40" s="305"/>
      <c r="E40" s="306"/>
      <c r="F40" s="307"/>
      <c r="G40" s="308"/>
    </row>
    <row r="41" spans="1:7" s="297" customFormat="1" ht="19.899999999999999" customHeight="1">
      <c r="B41" s="296"/>
      <c r="D41" s="305"/>
      <c r="E41" s="306"/>
      <c r="F41" s="307"/>
      <c r="G41" s="308"/>
    </row>
    <row r="42" spans="1:7" s="297" customFormat="1" ht="19.899999999999999" customHeight="1">
      <c r="B42" s="296"/>
      <c r="D42" s="305"/>
      <c r="E42" s="306"/>
      <c r="F42" s="307"/>
      <c r="G42" s="308"/>
    </row>
    <row r="43" spans="1:7" ht="23.25">
      <c r="B43" s="282"/>
      <c r="C43" s="281"/>
      <c r="D43" s="309"/>
      <c r="E43" s="282"/>
      <c r="F43" s="282"/>
    </row>
    <row r="44" spans="1:7">
      <c r="B44" s="282"/>
      <c r="C44" s="281"/>
      <c r="D44" s="310"/>
      <c r="E44" s="282"/>
      <c r="F44" s="282"/>
    </row>
    <row r="45" spans="1:7">
      <c r="C45" s="281"/>
      <c r="D45" s="292"/>
    </row>
    <row r="46" spans="1:7">
      <c r="C46" s="281"/>
      <c r="D46" s="292"/>
    </row>
    <row r="47" spans="1:7">
      <c r="C47" s="282"/>
      <c r="D47" s="292"/>
    </row>
    <row r="48" spans="1:7">
      <c r="D48" s="311"/>
    </row>
    <row r="50" spans="4:4">
      <c r="D50" s="292"/>
    </row>
  </sheetData>
  <mergeCells count="5">
    <mergeCell ref="B14:B17"/>
    <mergeCell ref="E15:G15"/>
    <mergeCell ref="B19:B22"/>
    <mergeCell ref="G22:J22"/>
    <mergeCell ref="G23:J24"/>
  </mergeCells>
  <pageMargins left="0.70866141732283472" right="0.70866141732283472" top="0.74803149606299213" bottom="0.74803149606299213" header="0.31496062992125984" footer="0.31496062992125984"/>
  <pageSetup paperSize="9" scale="90" fitToWidth="0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info</vt:lpstr>
      <vt:lpstr>lista</vt:lpstr>
      <vt:lpstr>turniej</vt:lpstr>
      <vt:lpstr>protokol</vt:lpstr>
      <vt:lpstr>klasyfikacja</vt:lpstr>
      <vt:lpstr>DYPLOMY</vt:lpstr>
      <vt:lpstr>DYPLOMY!Obszar_wydruku</vt:lpstr>
      <vt:lpstr>info!Obszar_wydruku</vt:lpstr>
      <vt:lpstr>klasyfikacja!Obszar_wydruku</vt:lpstr>
      <vt:lpstr>lista!Obszar_wydruku</vt:lpstr>
      <vt:lpstr>protokol!Obszar_wydruku</vt:lpstr>
      <vt:lpstr>turniej!Obszar_wydruku</vt:lpstr>
    </vt:vector>
  </TitlesOfParts>
  <Company>Agamar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MWorek. Worek</dc:creator>
  <cp:lastModifiedBy>Michał</cp:lastModifiedBy>
  <cp:lastPrinted>2023-04-22T11:38:14Z</cp:lastPrinted>
  <dcterms:created xsi:type="dcterms:W3CDTF">2010-11-12T23:06:18Z</dcterms:created>
  <dcterms:modified xsi:type="dcterms:W3CDTF">2023-04-22T14:10:28Z</dcterms:modified>
</cp:coreProperties>
</file>